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et\Documents\DJDINC\Business Files\KSDOE\Training Seminars Fall 2024\Presentation\Handouts\"/>
    </mc:Choice>
  </mc:AlternateContent>
  <xr:revisionPtr revIDLastSave="0" documentId="13_ncr:1_{81280D67-FB1F-48F4-AA12-2ECD76FE43FD}" xr6:coauthVersionLast="47" xr6:coauthVersionMax="47" xr10:uidLastSave="{00000000-0000-0000-0000-000000000000}"/>
  <bookViews>
    <workbookView xWindow="-110" yWindow="-110" windowWidth="19420" windowHeight="10420" tabRatio="710" xr2:uid="{00000000-000D-0000-FFFF-FFFF00000000}"/>
  </bookViews>
  <sheets>
    <sheet name="Summary" sheetId="18" r:id="rId1"/>
    <sheet name="SLD Call Log" sheetId="47" r:id="rId2"/>
    <sheet name="Discounts" sheetId="55" r:id="rId3"/>
    <sheet name="Cat1" sheetId="53" r:id="rId4"/>
    <sheet name="BusWiFi 2024" sheetId="54" r:id="rId5"/>
    <sheet name="Cat2 2023" sheetId="52" r:id="rId6"/>
    <sheet name="Cat2 2020" sheetId="51" r:id="rId7"/>
    <sheet name="Cat2 2019" sheetId="50" r:id="rId8"/>
    <sheet name="Cat2 Budgdet 2019" sheetId="48" r:id="rId9"/>
    <sheet name="Cat2 2018" sheetId="46" r:id="rId10"/>
  </sheets>
  <externalReferences>
    <externalReference r:id="rId11"/>
    <externalReference r:id="rId12"/>
  </externalReferences>
  <definedNames>
    <definedName name="EligibleEntities">'[1]FY2015 Info Schools'!$H$4:$H$10</definedName>
    <definedName name="Make">[2]Make!$A$2:$A$41</definedName>
    <definedName name="_xlnm.Print_Area" localSheetId="9">'Cat2 2018'!$A$1:$N$22</definedName>
    <definedName name="_xlnm.Print_Area" localSheetId="7">'Cat2 2019'!$C$14:$O$23</definedName>
    <definedName name="_xlnm.Print_Area" localSheetId="6">'Cat2 2020'!$A$44:$H$52</definedName>
    <definedName name="_xlnm.Print_Area" localSheetId="8">'Cat2 Budgdet 2019'!$A$3:$M$7</definedName>
    <definedName name="_xlnm.Print_Area" localSheetId="0">Summary!$A$2:$O$8</definedName>
    <definedName name="_xlnm.Print_Titles" localSheetId="0">Summary!$A:$D,Summary!$1:$1</definedName>
    <definedName name="temo" localSheetId="9">#REF!</definedName>
    <definedName name="temo" localSheetId="7">#REF!</definedName>
    <definedName name="temo" localSheetId="8">#REF!</definedName>
    <definedName name="temo" localSheetId="2">#REF!</definedName>
    <definedName name="temo" localSheetId="1">#REF!</definedName>
    <definedName name="temo">#REF!</definedName>
    <definedName name="temp" localSheetId="9">#REF!</definedName>
    <definedName name="temp" localSheetId="7">#REF!</definedName>
    <definedName name="temp" localSheetId="8">#REF!</definedName>
    <definedName name="temp" localSheetId="2">#REF!</definedName>
    <definedName name="temp" localSheetId="1">#REF!</definedName>
    <definedName name="temp">#REF!</definedName>
    <definedName name="Total_Count_of_All_Classroom_Switches" localSheetId="9">#REF!</definedName>
    <definedName name="Total_Count_of_All_Classroom_Switches" localSheetId="7">#REF!</definedName>
    <definedName name="Total_Count_of_All_Classroom_Switches" localSheetId="8">#REF!</definedName>
    <definedName name="Total_Count_of_All_Classroom_Switches" localSheetId="2">#REF!</definedName>
    <definedName name="Total_Count_of_All_Classroom_Switches" localSheetId="1">#REF!</definedName>
    <definedName name="Total_Count_of_All_Classroom_Switches">#REF!</definedName>
    <definedName name="xxxxxxxx" localSheetId="9">#REF!</definedName>
    <definedName name="xxxxxxxx" localSheetId="7">#REF!</definedName>
    <definedName name="xxxxxxxx" localSheetId="8">#REF!</definedName>
    <definedName name="xxxxxxxx" localSheetId="2">#REF!</definedName>
    <definedName name="xxx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55" l="1"/>
  <c r="B23" i="55"/>
  <c r="B22" i="55"/>
  <c r="B21" i="55"/>
  <c r="AP7" i="55"/>
  <c r="AQ7" i="55"/>
  <c r="AR7" i="55"/>
  <c r="AS7" i="55"/>
  <c r="AT7" i="55"/>
  <c r="AU7" i="55"/>
  <c r="AV7" i="55"/>
  <c r="AW7" i="55"/>
  <c r="AX7" i="55"/>
  <c r="AY7" i="55"/>
  <c r="AZ7" i="55"/>
  <c r="BA7" i="55"/>
  <c r="BB7" i="55"/>
  <c r="BC7" i="55"/>
  <c r="BD7" i="55"/>
  <c r="BE7" i="55"/>
  <c r="BF7" i="55"/>
  <c r="BG7" i="55"/>
  <c r="BH7" i="55"/>
  <c r="BI7" i="55"/>
  <c r="BJ7" i="55"/>
  <c r="BK7" i="55"/>
  <c r="BL7" i="55"/>
  <c r="BM7" i="55"/>
  <c r="BN7" i="55"/>
  <c r="BO7" i="55"/>
  <c r="BP7" i="55"/>
  <c r="BQ7" i="55"/>
  <c r="BR7" i="55"/>
  <c r="BS7" i="55"/>
  <c r="BT7" i="55"/>
  <c r="BU7" i="55"/>
  <c r="BX7" i="55"/>
  <c r="B18" i="55"/>
  <c r="M4" i="18"/>
  <c r="F17" i="54"/>
  <c r="F16" i="54"/>
  <c r="F15" i="54"/>
  <c r="D16" i="54"/>
  <c r="T4" i="18"/>
  <c r="N4" i="18" l="1"/>
  <c r="B30" i="52"/>
  <c r="B25" i="52"/>
  <c r="B24" i="52"/>
  <c r="D13" i="52"/>
  <c r="E16" i="51" l="1"/>
  <c r="K34" i="51" l="1"/>
  <c r="K42" i="51"/>
  <c r="O42" i="51"/>
  <c r="K38" i="51"/>
  <c r="K37" i="51"/>
  <c r="K39" i="51"/>
  <c r="K40" i="51"/>
  <c r="L40" i="51"/>
  <c r="L39" i="51"/>
  <c r="L38" i="51"/>
  <c r="L37" i="51"/>
  <c r="L42" i="51" s="1"/>
  <c r="O39" i="51"/>
  <c r="O38" i="51"/>
  <c r="Q41" i="51" l="1"/>
  <c r="Q39" i="51"/>
  <c r="Q38" i="51"/>
  <c r="L16" i="51"/>
  <c r="L17" i="51"/>
  <c r="L18" i="51"/>
  <c r="L19" i="51"/>
  <c r="L20" i="51"/>
  <c r="L15" i="51"/>
  <c r="L22" i="51" l="1"/>
  <c r="E20" i="51"/>
  <c r="G20" i="51" s="1"/>
  <c r="E19" i="51"/>
  <c r="G19" i="51" s="1"/>
  <c r="N40" i="51" s="1"/>
  <c r="E18" i="51"/>
  <c r="G18" i="51" s="1"/>
  <c r="M37" i="51" s="1"/>
  <c r="E17" i="51"/>
  <c r="G17" i="51" s="1"/>
  <c r="G16" i="51"/>
  <c r="E15" i="51"/>
  <c r="N42" i="51" l="1"/>
  <c r="Q40" i="51"/>
  <c r="E22" i="51"/>
  <c r="M42" i="51"/>
  <c r="Q37" i="51"/>
  <c r="G15" i="51"/>
  <c r="G22" i="51" l="1"/>
  <c r="J40" i="51"/>
  <c r="J42" i="51" s="1"/>
  <c r="F13" i="51"/>
  <c r="E11" i="51"/>
  <c r="G11" i="51" s="1"/>
  <c r="G29" i="51" s="1"/>
  <c r="I29" i="51" s="1"/>
  <c r="E10" i="51"/>
  <c r="F38" i="51"/>
  <c r="F39" i="51"/>
  <c r="F40" i="51"/>
  <c r="F41" i="51"/>
  <c r="F37" i="51"/>
  <c r="E38" i="51"/>
  <c r="E39" i="51"/>
  <c r="E40" i="51"/>
  <c r="E41" i="51"/>
  <c r="E37" i="51"/>
  <c r="E4" i="51"/>
  <c r="G4" i="51" s="1"/>
  <c r="E3" i="51"/>
  <c r="E5" i="51"/>
  <c r="G5" i="51" s="1"/>
  <c r="D42" i="51"/>
  <c r="C42" i="51"/>
  <c r="I33" i="51"/>
  <c r="I32" i="51"/>
  <c r="I30" i="51"/>
  <c r="I27" i="51"/>
  <c r="I26" i="51"/>
  <c r="I25" i="51"/>
  <c r="O43" i="51" l="1"/>
  <c r="Q42" i="51"/>
  <c r="G38" i="51"/>
  <c r="I39" i="51"/>
  <c r="I38" i="51"/>
  <c r="I41" i="51"/>
  <c r="I40" i="51"/>
  <c r="G39" i="51"/>
  <c r="I37" i="51"/>
  <c r="F42" i="51"/>
  <c r="G37" i="51"/>
  <c r="E42" i="51"/>
  <c r="G41" i="51"/>
  <c r="G40" i="51"/>
  <c r="E13" i="51"/>
  <c r="G10" i="51"/>
  <c r="K27" i="51"/>
  <c r="G3" i="51"/>
  <c r="G7" i="51" s="1"/>
  <c r="E7" i="51"/>
  <c r="I42" i="51" l="1"/>
  <c r="G13" i="51"/>
  <c r="G28" i="51"/>
  <c r="I28" i="51" s="1"/>
  <c r="G42" i="51"/>
  <c r="G43" i="51"/>
  <c r="H39" i="51" l="1"/>
  <c r="H37" i="51"/>
  <c r="H40" i="51"/>
  <c r="H38" i="51"/>
  <c r="K29" i="51"/>
  <c r="I34" i="51"/>
  <c r="H42" i="51" l="1"/>
  <c r="I43" i="51" s="1"/>
  <c r="E51" i="51" l="1"/>
  <c r="F51" i="51"/>
  <c r="D51" i="51"/>
  <c r="C51" i="51"/>
  <c r="G50" i="51" l="1"/>
  <c r="H50" i="51" s="1"/>
  <c r="G49" i="51"/>
  <c r="H49" i="51" s="1"/>
  <c r="G48" i="51"/>
  <c r="H48" i="51" s="1"/>
  <c r="G47" i="51"/>
  <c r="H47" i="51" s="1"/>
  <c r="G46" i="51"/>
  <c r="G51" i="51" l="1"/>
  <c r="H46" i="51"/>
  <c r="H51" i="51" s="1"/>
  <c r="H16" i="50" l="1"/>
  <c r="H14" i="50"/>
  <c r="E16" i="50"/>
  <c r="I16" i="50" l="1"/>
  <c r="I17" i="50"/>
  <c r="H18" i="50"/>
  <c r="A18" i="50"/>
  <c r="G18" i="50" l="1"/>
  <c r="F18" i="50"/>
  <c r="E14" i="50"/>
  <c r="E18" i="50" s="1"/>
  <c r="L7" i="50"/>
  <c r="G8" i="50"/>
  <c r="I8" i="50" s="1"/>
  <c r="G7" i="50"/>
  <c r="I7" i="50" s="1"/>
  <c r="G3" i="50" l="1"/>
  <c r="I3" i="50" s="1"/>
  <c r="G9" i="50"/>
  <c r="I9" i="50" s="1"/>
  <c r="G6" i="50"/>
  <c r="I6" i="50" s="1"/>
  <c r="E5" i="50"/>
  <c r="G5" i="50" s="1"/>
  <c r="I5" i="50" s="1"/>
  <c r="J10" i="50" s="1"/>
  <c r="G2" i="50"/>
  <c r="I2" i="50" s="1"/>
  <c r="J4" i="50" s="1"/>
  <c r="J11" i="50" l="1"/>
  <c r="I18" i="50"/>
  <c r="D15" i="50"/>
  <c r="J15" i="50" s="1"/>
  <c r="D16" i="50"/>
  <c r="J16" i="50" s="1"/>
  <c r="D17" i="50"/>
  <c r="J17" i="50" s="1"/>
  <c r="D14" i="50"/>
  <c r="J14" i="50" l="1"/>
  <c r="J18" i="50" s="1"/>
  <c r="D18" i="50"/>
  <c r="D20" i="50" s="1"/>
  <c r="T3" i="18" l="1"/>
  <c r="K3" i="18"/>
  <c r="M3" i="18" s="1"/>
  <c r="N3" i="18" s="1"/>
  <c r="F56" i="48" l="1"/>
  <c r="F51" i="48"/>
  <c r="F40" i="48"/>
  <c r="G8" i="48"/>
  <c r="E8" i="48"/>
  <c r="D8" i="48"/>
  <c r="C8" i="48"/>
  <c r="F4" i="48"/>
  <c r="H4" i="48" s="1"/>
  <c r="F6" i="48"/>
  <c r="H6" i="48" s="1"/>
  <c r="F7" i="48"/>
  <c r="H7" i="48" s="1"/>
  <c r="F3" i="48"/>
  <c r="H3" i="48" s="1"/>
  <c r="F25" i="48"/>
  <c r="G57" i="48" l="1"/>
  <c r="F5" i="48"/>
  <c r="B8" i="48"/>
  <c r="H5" i="48" l="1"/>
  <c r="H8" i="48" s="1"/>
  <c r="F8" i="48"/>
  <c r="H10" i="46"/>
  <c r="I10" i="46" s="1"/>
  <c r="L14" i="46"/>
  <c r="G8" i="46" s="1"/>
  <c r="K14" i="46"/>
  <c r="G6" i="46" s="1"/>
  <c r="H6" i="46"/>
  <c r="H3" i="46"/>
  <c r="I3" i="46" s="1"/>
  <c r="H9" i="46"/>
  <c r="I9" i="46" s="1"/>
  <c r="H5" i="46" l="1"/>
  <c r="I5" i="46" s="1"/>
  <c r="H8" i="46" l="1"/>
  <c r="I8" i="46" s="1"/>
  <c r="C20" i="46" s="1"/>
  <c r="H4" i="46"/>
  <c r="H2" i="46"/>
  <c r="I2" i="46" s="1"/>
  <c r="I4" i="46" l="1"/>
  <c r="H13" i="46"/>
  <c r="I6" i="46"/>
  <c r="N8" i="46"/>
  <c r="C18" i="46" l="1"/>
  <c r="I13" i="46"/>
  <c r="K2" i="18"/>
  <c r="K6" i="18" s="1"/>
  <c r="T2" i="18" l="1"/>
  <c r="M2" i="18" l="1"/>
  <c r="M6" i="18" s="1"/>
  <c r="N2" i="18" l="1"/>
  <c r="N6" i="18" s="1"/>
  <c r="K8" i="18"/>
  <c r="M8" i="18" l="1"/>
  <c r="N8" i="18" l="1"/>
</calcChain>
</file>

<file path=xl/sharedStrings.xml><?xml version="1.0" encoding="utf-8"?>
<sst xmlns="http://schemas.openxmlformats.org/spreadsheetml/2006/main" count="1100" uniqueCount="449">
  <si>
    <t>SPIN</t>
  </si>
  <si>
    <t>Description</t>
  </si>
  <si>
    <t>471 #  Att#</t>
  </si>
  <si>
    <t>Cat</t>
  </si>
  <si>
    <t>% Disc</t>
  </si>
  <si>
    <t>MTM, Tariff or Contract</t>
  </si>
  <si>
    <t>470 Ref Yr</t>
  </si>
  <si>
    <t>470 #</t>
  </si>
  <si>
    <t>CAD</t>
  </si>
  <si>
    <t>Contract End                   (per 471)</t>
  </si>
  <si>
    <t>Y</t>
  </si>
  <si>
    <t>ACD</t>
  </si>
  <si>
    <t>#Bids</t>
  </si>
  <si>
    <t>N</t>
  </si>
  <si>
    <t>Vendor</t>
  </si>
  <si>
    <t>Total Pre-Discounted Amount</t>
  </si>
  <si>
    <t>CNTR #</t>
  </si>
  <si>
    <t>C</t>
  </si>
  <si>
    <t>Internet</t>
  </si>
  <si>
    <t>Dedicated Internet</t>
  </si>
  <si>
    <t># Lines</t>
  </si>
  <si>
    <t>Cost / Line</t>
  </si>
  <si>
    <t xml:space="preserve">Monthly </t>
  </si>
  <si>
    <t>One-Time Charges</t>
  </si>
  <si>
    <t>Notes</t>
  </si>
  <si>
    <t>CIRBN LLC</t>
  </si>
  <si>
    <r>
      <rPr>
        <sz val="9.5"/>
        <rFont val="Arial"/>
        <family val="2"/>
      </rPr>
      <t>MAHOMET-SEYMOUR HIGH SCHOOL</t>
    </r>
  </si>
  <si>
    <r>
      <rPr>
        <sz val="9.5"/>
        <rFont val="Arial"/>
        <family val="2"/>
      </rPr>
      <t>LINCOLN TRAIL ELEM SCHOOL</t>
    </r>
  </si>
  <si>
    <r>
      <rPr>
        <sz val="9.5"/>
        <rFont val="Arial"/>
        <family val="2"/>
      </rPr>
      <t>MAHOMET-SEYMOUR JR HIGH SCHOOL</t>
    </r>
  </si>
  <si>
    <r>
      <rPr>
        <sz val="9.5"/>
        <rFont val="Arial"/>
        <family val="2"/>
      </rPr>
      <t>MIDDLETOWN SCHOOL</t>
    </r>
  </si>
  <si>
    <r>
      <rPr>
        <sz val="9.5"/>
        <rFont val="Arial"/>
        <family val="2"/>
      </rPr>
      <t>SANGAMON ELEMENTARY SCHOOL</t>
    </r>
  </si>
  <si>
    <t>Cat2 Budget</t>
  </si>
  <si>
    <t>MAHOMET-SEYMOUR HIGH SCHOOL</t>
  </si>
  <si>
    <t>LINCOLN TRAIL ELEM SCHOOL</t>
  </si>
  <si>
    <t>MAHOMET-SEYMOUR JR HIGH SCHOOL</t>
  </si>
  <si>
    <t>MIDDLETOWN SCHOOL</t>
  </si>
  <si>
    <t>SANGAMON ELEMENTARY SCHOOL</t>
  </si>
  <si>
    <t>Entity #</t>
  </si>
  <si>
    <t>School Name</t>
  </si>
  <si>
    <t>N/A</t>
  </si>
  <si>
    <t>Line #</t>
  </si>
  <si>
    <t>Cost allocated to:</t>
  </si>
  <si>
    <t>Qty</t>
  </si>
  <si>
    <t>Function</t>
  </si>
  <si>
    <t>Manuf</t>
  </si>
  <si>
    <t>Unit</t>
  </si>
  <si>
    <t>Ext</t>
  </si>
  <si>
    <t>Eligible Costs</t>
  </si>
  <si>
    <t>UPS</t>
  </si>
  <si>
    <t>APC</t>
  </si>
  <si>
    <t>WiFi</t>
  </si>
  <si>
    <t>Ruckus</t>
  </si>
  <si>
    <t>Eligible FRN Amount</t>
  </si>
  <si>
    <t>Cat2 Allocations</t>
  </si>
  <si>
    <t>School</t>
  </si>
  <si>
    <t>Line 1</t>
  </si>
  <si>
    <t>R610</t>
  </si>
  <si>
    <t xml:space="preserve"> </t>
  </si>
  <si>
    <t>High School</t>
  </si>
  <si>
    <t>Junior High School</t>
  </si>
  <si>
    <t>Cabling</t>
  </si>
  <si>
    <t>Various</t>
  </si>
  <si>
    <t>Labor</t>
  </si>
  <si>
    <t>Line 14</t>
  </si>
  <si>
    <t>Line 13</t>
  </si>
  <si>
    <t>Line 2-12</t>
  </si>
  <si>
    <t>Line 15</t>
  </si>
  <si>
    <t>SMC1500</t>
  </si>
  <si>
    <t>ZD300</t>
  </si>
  <si>
    <t>Line 16</t>
  </si>
  <si>
    <t>Lines 2-12</t>
  </si>
  <si>
    <t>Lines 17-23</t>
  </si>
  <si>
    <t>Line 17-23</t>
  </si>
  <si>
    <t>Line 24</t>
  </si>
  <si>
    <t>Heart Bid 02-26-18</t>
  </si>
  <si>
    <t>Total Cat1</t>
  </si>
  <si>
    <t>Total Cat2</t>
  </si>
  <si>
    <t>Total E-Rate Funding</t>
  </si>
  <si>
    <t>Total District Funding</t>
  </si>
  <si>
    <t>Date</t>
  </si>
  <si>
    <t>Time</t>
  </si>
  <si>
    <t>Case#</t>
  </si>
  <si>
    <t>Client</t>
  </si>
  <si>
    <t>PIA</t>
  </si>
  <si>
    <t>Form</t>
  </si>
  <si>
    <t>Form #</t>
  </si>
  <si>
    <t>Svc Cert</t>
  </si>
  <si>
    <t>Inv Ext</t>
  </si>
  <si>
    <t>Svc Sub</t>
  </si>
  <si>
    <t>Appeal</t>
  </si>
  <si>
    <t>Cat2 Allocations per SLD Cat2 Budget Tool 07-10-18</t>
  </si>
  <si>
    <t>Total Cat2 Alloc 2015</t>
  </si>
  <si>
    <t>Total Cat2 Alloc 2016</t>
  </si>
  <si>
    <t>Total Cat2 Alloc 2017</t>
  </si>
  <si>
    <t>Total Cat2 Alloc 2018</t>
  </si>
  <si>
    <t>Remining for 2019</t>
  </si>
  <si>
    <t>BEN</t>
  </si>
  <si>
    <t>Entity Name</t>
  </si>
  <si>
    <t>C2 Budget</t>
  </si>
  <si>
    <t>Approved Pre-Discount</t>
  </si>
  <si>
    <t>Remaining Balance</t>
  </si>
  <si>
    <t>FY2018</t>
  </si>
  <si>
    <t>Application #181009270  (FY2018)    BEN 136287     MAHOMET-SEYMOUR C U SCH DIST 3</t>
  </si>
  <si>
    <t>FRN</t>
  </si>
  <si>
    <t>Line Item</t>
  </si>
  <si>
    <t>Requested Pre-discount</t>
  </si>
  <si>
    <t>Approved Pre-discount</t>
  </si>
  <si>
    <t xml:space="preserve">FRN Commitment Status </t>
  </si>
  <si>
    <t>Funded</t>
  </si>
  <si>
    <t>Application #171048407  (FY2017)    BEN 136287     MAHOMET-SEYMOUR C U SCH DIST 3</t>
  </si>
  <si>
    <t>Application #171048809  (FY2017)    BEN 136287     MAHOMET-SEYMOUR C U SCH DIST 3</t>
  </si>
  <si>
    <t>Totals</t>
  </si>
  <si>
    <t>2019</t>
  </si>
  <si>
    <t>Rural</t>
  </si>
  <si>
    <t>Data Transmission</t>
  </si>
  <si>
    <t>2</t>
  </si>
  <si>
    <t>Desired Equipment                             (or equivalent)</t>
  </si>
  <si>
    <t>Total Quanty</t>
  </si>
  <si>
    <t>Unit Cost</t>
  </si>
  <si>
    <t>Ext Cost                       (A*B)</t>
  </si>
  <si>
    <t>Other (Provide Details)</t>
  </si>
  <si>
    <t>Total Proposed Cost (C+D)</t>
  </si>
  <si>
    <t>48 Port POE Switch</t>
  </si>
  <si>
    <t>One per building</t>
  </si>
  <si>
    <t>Wirewless Access Points</t>
  </si>
  <si>
    <t>Wireless Controller</t>
  </si>
  <si>
    <t>LIC-MS225-48FP-5YR</t>
  </si>
  <si>
    <t>MS225-48FP-HW</t>
  </si>
  <si>
    <t>License</t>
  </si>
  <si>
    <t xml:space="preserve">Presidio </t>
  </si>
  <si>
    <t>FRN Total</t>
  </si>
  <si>
    <t>Two Trees</t>
  </si>
  <si>
    <t>901-R610-US00</t>
  </si>
  <si>
    <t>SMT1500RM2UC</t>
  </si>
  <si>
    <t>P01-S104-UN00</t>
  </si>
  <si>
    <t>S02-S104-5000</t>
  </si>
  <si>
    <t>S02-0001-5LSG</t>
  </si>
  <si>
    <t>Original Quote</t>
  </si>
  <si>
    <t>Allocation from Switches</t>
  </si>
  <si>
    <t xml:space="preserve">LINCOLN TRAIL ELEM </t>
  </si>
  <si>
    <t>MIDDLETOWN ELEM</t>
  </si>
  <si>
    <t>MS JR HIGH SCHOOL</t>
  </si>
  <si>
    <t>MS HIGH SCHOOL</t>
  </si>
  <si>
    <t>Alloc from Aps</t>
  </si>
  <si>
    <t>Alloc from Ctlr</t>
  </si>
  <si>
    <t>4 at HS and 2 at JHS</t>
  </si>
  <si>
    <t>Allocations</t>
  </si>
  <si>
    <t>Alloc from Ctlr Lic</t>
  </si>
  <si>
    <t>Alloc from AP Licenses</t>
  </si>
  <si>
    <t>Alloc from UPS</t>
  </si>
  <si>
    <t>Students</t>
  </si>
  <si>
    <t>Total 2019 Allocation</t>
  </si>
  <si>
    <t>471 Total</t>
  </si>
  <si>
    <t xml:space="preserve">2019 Budget </t>
  </si>
  <si>
    <t>Cat2 Allocations for 2019</t>
  </si>
  <si>
    <t>Moved AP's from Middletown to JHS due to budget</t>
  </si>
  <si>
    <t>Switches not Purchased from 2Trees =&gt;</t>
  </si>
  <si>
    <t>1 at Lincoln 1 at JHS</t>
  </si>
  <si>
    <t>80 at Lincoln 81 at JHS</t>
  </si>
  <si>
    <t>27 at Lincoln, 29 at JHS</t>
  </si>
  <si>
    <t>Suggest we cancel this one</t>
  </si>
  <si>
    <t xml:space="preserve"> 470 Description</t>
  </si>
  <si>
    <t>Leased Lit Fiber ES-HS -no 470 - Contract thru 2028</t>
  </si>
  <si>
    <t>Entity#</t>
  </si>
  <si>
    <t>Students 2019</t>
  </si>
  <si>
    <t>C2 Budget 2019</t>
  </si>
  <si>
    <t>Total Spent 2015-2019</t>
  </si>
  <si>
    <t>Remaining after 2019</t>
  </si>
  <si>
    <t>Plus SLD Cat2 for 2020 (20%)</t>
  </si>
  <si>
    <t>Cat2 Available for 2020</t>
  </si>
  <si>
    <t>Category 2 Budget Status</t>
  </si>
  <si>
    <t xml:space="preserve">Understanding the search results (more...) </t>
  </si>
  <si>
    <t>Funding Year  </t>
  </si>
  <si>
    <t>FY2019</t>
  </si>
  <si>
    <t>Budget cannot be calculated for this funding year</t>
  </si>
  <si>
    <t>Application #191012274  (FY2019)    BEN 136287     MAHOMET-SEYMOUR C U SCH DIST 3</t>
  </si>
  <si>
    <t>Page of 1</t>
  </si>
  <si>
    <t xml:space="preserve">  rows per page </t>
  </si>
  <si>
    <t>There are no applications featuring this entity.</t>
  </si>
  <si>
    <t xml:space="preserve">Cat2 Budget Status per SLD Records 12-15-19  </t>
  </si>
  <si>
    <t>RFP</t>
  </si>
  <si>
    <t>Firewall</t>
  </si>
  <si>
    <t>Use these lines to convert vendor proposals into bulk upload files</t>
  </si>
  <si>
    <t>Location</t>
  </si>
  <si>
    <t>Entity</t>
  </si>
  <si>
    <t>Desc</t>
  </si>
  <si>
    <t xml:space="preserve">Make </t>
  </si>
  <si>
    <t>Model</t>
  </si>
  <si>
    <t>Total</t>
  </si>
  <si>
    <t>School Allocations.</t>
  </si>
  <si>
    <t xml:space="preserve">Students </t>
  </si>
  <si>
    <t>Other (Licensing and Support for 3 Years)</t>
  </si>
  <si>
    <t>Ruckus R610 or equivalent access points. Access point only - no installation.  Include licensing and support for 3 years as options.  (Insert additional rows if necessary)</t>
  </si>
  <si>
    <t>26 at LT. 22 at JH, 8 at MPE, 3 at HS</t>
  </si>
  <si>
    <t>Ruckus SmartZone 100 plus 217 total licenses.  (Reduce quantity by 59 if new APs come with licenses inclulded).</t>
  </si>
  <si>
    <t>2/7/20 - increased count from 1 to 2.   This is a minor change that will not effect due date.  If bids rec'd with only 1 we will adjust.</t>
  </si>
  <si>
    <t>Total Proposed Cost</t>
  </si>
  <si>
    <t>Graybar - WiFi</t>
  </si>
  <si>
    <t>Graybar AP Allocation</t>
  </si>
  <si>
    <t>Graybar Controller</t>
  </si>
  <si>
    <t>Heart Firewall</t>
  </si>
  <si>
    <t>Licenses</t>
  </si>
  <si>
    <t>Total Alloc 2020</t>
  </si>
  <si>
    <t>Ruckus 610 3yr</t>
  </si>
  <si>
    <t>Graybar Licenses</t>
  </si>
  <si>
    <t>See Below</t>
  </si>
  <si>
    <t>Access Point</t>
  </si>
  <si>
    <t>R610-3YR</t>
  </si>
  <si>
    <t>Controller</t>
  </si>
  <si>
    <t>SmartZone100</t>
  </si>
  <si>
    <t>FRN Totals</t>
  </si>
  <si>
    <t># AP's</t>
  </si>
  <si>
    <t>Meraki MX450</t>
  </si>
  <si>
    <t>3 Yr</t>
  </si>
  <si>
    <t>Meraki</t>
  </si>
  <si>
    <t>MX450</t>
  </si>
  <si>
    <t>Firewall license</t>
  </si>
  <si>
    <t>AP Licenses</t>
  </si>
  <si>
    <t>Heart Licenses</t>
  </si>
  <si>
    <t>Cost Allocations 2020</t>
  </si>
  <si>
    <t>Additional AP Lic</t>
  </si>
  <si>
    <t>See list</t>
  </si>
  <si>
    <t>MX450-3YR</t>
  </si>
  <si>
    <t xml:space="preserve">This is gonna be a mess - </t>
  </si>
  <si>
    <t>Meraki Licenses - 3YR</t>
  </si>
  <si>
    <t>MS225-24P</t>
  </si>
  <si>
    <t>MS225-48</t>
  </si>
  <si>
    <t>MS225-48FP</t>
  </si>
  <si>
    <t>MS250-48</t>
  </si>
  <si>
    <t>MS425-16</t>
  </si>
  <si>
    <t>MS425-32</t>
  </si>
  <si>
    <t>LT</t>
  </si>
  <si>
    <t>HS</t>
  </si>
  <si>
    <t>JHS</t>
  </si>
  <si>
    <t>MPE</t>
  </si>
  <si>
    <t>Total This Year</t>
  </si>
  <si>
    <t>Cat2 Budget 2021</t>
  </si>
  <si>
    <t>Dedicated Internet at minimum of 1gb/sec up to 10gb/sec tio District Office and JHS.   Provide incremental pricing.</t>
  </si>
  <si>
    <t>2022 FRN</t>
  </si>
  <si>
    <t>Cat2 Awarded 2021</t>
  </si>
  <si>
    <t>2023 FRN</t>
  </si>
  <si>
    <t>Cat2 Awarded 2022</t>
  </si>
  <si>
    <t>2023</t>
  </si>
  <si>
    <t>3</t>
  </si>
  <si>
    <t>Heart Switches</t>
  </si>
  <si>
    <r>
      <rPr>
        <b/>
        <sz val="10"/>
        <color rgb="FFFFFFFF"/>
        <rFont val="Calibri"/>
        <family val="2"/>
      </rPr>
      <t>Description</t>
    </r>
  </si>
  <si>
    <r>
      <rPr>
        <b/>
        <sz val="10"/>
        <color rgb="FFFFFFFF"/>
        <rFont val="Calibri"/>
        <family val="2"/>
      </rPr>
      <t>Price</t>
    </r>
  </si>
  <si>
    <r>
      <rPr>
        <b/>
        <sz val="10"/>
        <color rgb="FFFFFFFF"/>
        <rFont val="Calibri"/>
        <family val="2"/>
      </rPr>
      <t>Qty</t>
    </r>
  </si>
  <si>
    <r>
      <rPr>
        <b/>
        <sz val="10"/>
        <color rgb="FFFFFFFF"/>
        <rFont val="Calibri"/>
        <family val="2"/>
      </rPr>
      <t>Ext. Price</t>
    </r>
  </si>
  <si>
    <r>
      <rPr>
        <sz val="10"/>
        <rFont val="Calibri"/>
        <family val="2"/>
      </rPr>
      <t xml:space="preserve">MS225-48FP-HW   </t>
    </r>
    <r>
      <rPr>
        <b/>
        <sz val="10"/>
        <rFont val="Calibri"/>
        <family val="2"/>
      </rPr>
      <t>Cisco Meraki MS225-48FP PoE Network Switch</t>
    </r>
  </si>
  <si>
    <r>
      <rPr>
        <sz val="10"/>
        <rFont val="Calibri"/>
        <family val="2"/>
      </rPr>
      <t xml:space="preserve">LIC-MS225-48FP-   </t>
    </r>
    <r>
      <rPr>
        <b/>
        <sz val="10"/>
        <rFont val="Calibri"/>
        <family val="2"/>
      </rPr>
      <t xml:space="preserve">Cisco Meraki License (5 years) for P/N: MS225-48FP-HW
</t>
    </r>
    <r>
      <rPr>
        <sz val="10"/>
        <rFont val="Calibri"/>
        <family val="2"/>
      </rPr>
      <t>5YR</t>
    </r>
  </si>
  <si>
    <r>
      <rPr>
        <sz val="10"/>
        <rFont val="Calibri"/>
        <family val="2"/>
      </rPr>
      <t xml:space="preserve">MS225-24P-HW     </t>
    </r>
    <r>
      <rPr>
        <b/>
        <sz val="10"/>
        <rFont val="Calibri"/>
        <family val="2"/>
      </rPr>
      <t>Cisco Meraki MS225-24P PoE Network Switch</t>
    </r>
  </si>
  <si>
    <r>
      <rPr>
        <sz val="10"/>
        <rFont val="Calibri"/>
        <family val="2"/>
      </rPr>
      <t xml:space="preserve">LIC-MS225-24P-     </t>
    </r>
    <r>
      <rPr>
        <b/>
        <sz val="10"/>
        <rFont val="Calibri"/>
        <family val="2"/>
      </rPr>
      <t xml:space="preserve">Cisco Meraki License (5 years) for P/N: MS225-24P-HW
</t>
    </r>
    <r>
      <rPr>
        <sz val="10"/>
        <rFont val="Calibri"/>
        <family val="2"/>
      </rPr>
      <t>5YR</t>
    </r>
  </si>
  <si>
    <r>
      <rPr>
        <sz val="10"/>
        <rFont val="Calibri"/>
        <family val="2"/>
      </rPr>
      <t xml:space="preserve">MA-CBL-40G-3M   </t>
    </r>
    <r>
      <rPr>
        <b/>
        <sz val="10"/>
        <rFont val="Calibri"/>
        <family val="2"/>
      </rPr>
      <t>Cisco Meraki MA-CBL-40G-3M QSFP+ to QSFP+ Twinax Stacking Cable</t>
    </r>
  </si>
  <si>
    <r>
      <rPr>
        <sz val="10"/>
        <rFont val="Calibri"/>
        <family val="2"/>
      </rPr>
      <t>Meraki MX450 License Options</t>
    </r>
  </si>
  <si>
    <r>
      <rPr>
        <sz val="10"/>
        <rFont val="Calibri"/>
        <family val="2"/>
      </rPr>
      <t xml:space="preserve">LIC-MX450-ENT-    </t>
    </r>
    <r>
      <rPr>
        <b/>
        <sz val="10"/>
        <rFont val="Calibri"/>
        <family val="2"/>
      </rPr>
      <t xml:space="preserve">Cisco Meraki MX450 Enterprise License and Support Subscription (5-
</t>
    </r>
    <r>
      <rPr>
        <sz val="10"/>
        <rFont val="Calibri"/>
        <family val="2"/>
      </rPr>
      <t xml:space="preserve">5YR                           </t>
    </r>
    <r>
      <rPr>
        <b/>
        <sz val="10"/>
        <rFont val="Calibri"/>
        <family val="2"/>
      </rPr>
      <t>Year)</t>
    </r>
  </si>
  <si>
    <r>
      <rPr>
        <sz val="10"/>
        <rFont val="Calibri"/>
        <family val="2"/>
      </rPr>
      <t xml:space="preserve">LIC-MX450-SEC-     </t>
    </r>
    <r>
      <rPr>
        <b/>
        <sz val="10"/>
        <rFont val="Calibri"/>
        <family val="2"/>
      </rPr>
      <t xml:space="preserve">Cisco Meraki MX450 Advanced Security License and Support
</t>
    </r>
    <r>
      <rPr>
        <sz val="10"/>
        <rFont val="Calibri"/>
        <family val="2"/>
      </rPr>
      <t xml:space="preserve">5YR                           </t>
    </r>
    <r>
      <rPr>
        <b/>
        <sz val="10"/>
        <rFont val="Calibri"/>
        <family val="2"/>
      </rPr>
      <t>Subscription (5-Year)</t>
    </r>
  </si>
  <si>
    <t>Heart Cabling</t>
  </si>
  <si>
    <t>See attached quote</t>
  </si>
  <si>
    <t>Labor at Lincoln Trail</t>
  </si>
  <si>
    <t>Labor at HS</t>
  </si>
  <si>
    <t>Labor at JHS</t>
  </si>
  <si>
    <t>Labor at Middletown</t>
  </si>
  <si>
    <t>Total Contract Price</t>
  </si>
  <si>
    <t>Total Installation Costs</t>
  </si>
  <si>
    <t>Total Materials Costs</t>
  </si>
  <si>
    <t>Ineligible</t>
  </si>
  <si>
    <t>Performance Bond</t>
  </si>
  <si>
    <t>FRN Amount</t>
  </si>
  <si>
    <t>Funding Letter Notes</t>
  </si>
  <si>
    <t>2024 FRN</t>
  </si>
  <si>
    <t>25gb/sec at $1,136.38/mo -thru 2026</t>
  </si>
  <si>
    <t>Cat2 Awarded 2023</t>
  </si>
  <si>
    <t>FRN 2399000739</t>
  </si>
  <si>
    <t>\</t>
  </si>
  <si>
    <t>FRN 2399000746</t>
  </si>
  <si>
    <t>District selected $750 / mo over 120 months below starting in 2019</t>
  </si>
  <si>
    <t>Bus WiFi</t>
  </si>
  <si>
    <t>2024</t>
  </si>
  <si>
    <t>No Cat2 for 2024</t>
  </si>
  <si>
    <t>Kajeet</t>
  </si>
  <si>
    <t>4</t>
  </si>
  <si>
    <t xml:space="preserve">FRN Line Item </t>
  </si>
  <si>
    <t>Monthly</t>
  </si>
  <si>
    <t>One-Time</t>
  </si>
  <si>
    <t>Annual</t>
  </si>
  <si>
    <t>Router License</t>
  </si>
  <si>
    <t>Usage</t>
  </si>
  <si>
    <t>FRN Amt</t>
  </si>
  <si>
    <t>Bus WiFi for 28 buses</t>
  </si>
  <si>
    <t>X</t>
  </si>
  <si>
    <t>Ruben Santos</t>
  </si>
  <si>
    <t>E - Rate Reviewer</t>
  </si>
  <si>
    <t>833-205-1185 Ext.38571</t>
  </si>
  <si>
    <t>Reviewer's E-Mail Address ruben.santos@usac.org</t>
  </si>
  <si>
    <t>Mod Notice - splitting services and equipment for FRN on Bus WiFi into two line items. - Said OK - Done</t>
  </si>
  <si>
    <t>Cat2 Awarded 2024</t>
  </si>
  <si>
    <t>Cat2 Available 2025</t>
  </si>
  <si>
    <t>Per EPC 06-25-24</t>
  </si>
  <si>
    <t>2025 FRN</t>
  </si>
  <si>
    <t>EPC System</t>
  </si>
  <si>
    <t>No</t>
  </si>
  <si>
    <t>Jared Lynn</t>
  </si>
  <si>
    <t>217-586-2161</t>
  </si>
  <si>
    <t>IL</t>
  </si>
  <si>
    <t>Mahomet</t>
  </si>
  <si>
    <t>101 North Divison</t>
  </si>
  <si>
    <t>Active</t>
  </si>
  <si>
    <t>School District</t>
  </si>
  <si>
    <t>Mahomet-Seymour C U Sch Dist 3</t>
  </si>
  <si>
    <t>Non-Instructional Facility (Nif)</t>
  </si>
  <si>
    <t>Mahomet-Seymour Admin Building</t>
  </si>
  <si>
    <t>217-586-4443</t>
  </si>
  <si>
    <t>OH</t>
  </si>
  <si>
    <t>Champaign</t>
  </si>
  <si>
    <t>101 North Division</t>
  </si>
  <si>
    <t>Mahomet Transportation</t>
  </si>
  <si>
    <t>Discount</t>
  </si>
  <si>
    <t>Enrollment</t>
  </si>
  <si>
    <t>Commitment Batch Update 2017</t>
  </si>
  <si>
    <t>Yes</t>
  </si>
  <si>
    <t>None</t>
  </si>
  <si>
    <t>A number for each school in the district</t>
  </si>
  <si>
    <t>217-586-4583</t>
  </si>
  <si>
    <t>601 W Main St</t>
  </si>
  <si>
    <t>Sangamon Elementary School</t>
  </si>
  <si>
    <t>Commitment Batch Update 2019</t>
  </si>
  <si>
    <t>217-586-5833</t>
  </si>
  <si>
    <t>101 N Division St</t>
  </si>
  <si>
    <t>Middletown School</t>
  </si>
  <si>
    <t>217-586-4415</t>
  </si>
  <si>
    <t>Po Box 560</t>
  </si>
  <si>
    <t>201 W State St</t>
  </si>
  <si>
    <t>Mahomet-Seymour Jr High School</t>
  </si>
  <si>
    <t>217-586-4962</t>
  </si>
  <si>
    <t>Po Box 190</t>
  </si>
  <si>
    <t>302 W State St</t>
  </si>
  <si>
    <t>Mahomet-Seymour High School</t>
  </si>
  <si>
    <t>217-586-2811</t>
  </si>
  <si>
    <t>Po Box 200</t>
  </si>
  <si>
    <t>102 E State St</t>
  </si>
  <si>
    <t>Lincoln Trail Elem School</t>
  </si>
  <si>
    <t>Last Updated</t>
  </si>
  <si>
    <t>Entity Last Modified By</t>
  </si>
  <si>
    <t>General-Use School</t>
  </si>
  <si>
    <t>Detention Center</t>
  </si>
  <si>
    <t>Swing Space</t>
  </si>
  <si>
    <t>Adult Education</t>
  </si>
  <si>
    <t>Tribal School</t>
  </si>
  <si>
    <t>Public School</t>
  </si>
  <si>
    <t>Private School</t>
  </si>
  <si>
    <t>Pre-K</t>
  </si>
  <si>
    <t>New Construction School</t>
  </si>
  <si>
    <t>Juvenile Justice</t>
  </si>
  <si>
    <t>Head Start</t>
  </si>
  <si>
    <t>ESA School District with no Schools</t>
  </si>
  <si>
    <t>ESA School</t>
  </si>
  <si>
    <t>Dormitory</t>
  </si>
  <si>
    <t>Charter School</t>
  </si>
  <si>
    <t>Bureau of Indian Education (BIE)</t>
  </si>
  <si>
    <t>Does this organization have an endowment?</t>
  </si>
  <si>
    <t>Alternative Discount Method</t>
  </si>
  <si>
    <t>CEP Percentage</t>
  </si>
  <si>
    <t>Community Eligibility Program (CEP)</t>
  </si>
  <si>
    <t>Number of NSLP Students</t>
  </si>
  <si>
    <t>Peak Number of Part-Time Students</t>
  </si>
  <si>
    <t>Total Number of Part-Time Students</t>
  </si>
  <si>
    <t>Total Number of Full-Time Students</t>
  </si>
  <si>
    <t>NCES Private School ID</t>
  </si>
  <si>
    <t>NCES Public Building Code</t>
  </si>
  <si>
    <t>NCES Public District Code</t>
  </si>
  <si>
    <t>NCES Public State Code</t>
  </si>
  <si>
    <t>State Local Education Agency (LEA) Code</t>
  </si>
  <si>
    <t>State School Code</t>
  </si>
  <si>
    <t>Tribal Library</t>
  </si>
  <si>
    <t>State Library Agency - Library</t>
  </si>
  <si>
    <t>Research Library</t>
  </si>
  <si>
    <t>Public Library</t>
  </si>
  <si>
    <t>Private Library</t>
  </si>
  <si>
    <t>New Construction Library</t>
  </si>
  <si>
    <t>Main Branch</t>
  </si>
  <si>
    <t>Kiosk</t>
  </si>
  <si>
    <t>Bookmobile</t>
  </si>
  <si>
    <t>Academic</t>
  </si>
  <si>
    <t>Square Footage</t>
  </si>
  <si>
    <t>Locale Code</t>
  </si>
  <si>
    <t>Federal-State Cooperative System Code (FSCS) Key</t>
  </si>
  <si>
    <t>Federal-State Cooperative System</t>
  </si>
  <si>
    <t>Other State Agency</t>
  </si>
  <si>
    <t>State Library Agency - Consortium</t>
  </si>
  <si>
    <t>State Education Agency</t>
  </si>
  <si>
    <t>State-Wide Consortium</t>
  </si>
  <si>
    <t>Non-Profit Purchasing Group</t>
  </si>
  <si>
    <t>Educational Service Agency (ESA) Consortium</t>
  </si>
  <si>
    <t>Public Library System</t>
  </si>
  <si>
    <t>Private Library System</t>
  </si>
  <si>
    <t>Main Library Branch School District Number</t>
  </si>
  <si>
    <t>Main Library Branch School District Name</t>
  </si>
  <si>
    <t>C2 School Student Count</t>
  </si>
  <si>
    <t>C2 District Student Count</t>
  </si>
  <si>
    <t>C2 Student Count Reporting Type</t>
  </si>
  <si>
    <t>Charter School District</t>
  </si>
  <si>
    <t>Educational Service Agency (ESA) School District</t>
  </si>
  <si>
    <t>Public School District</t>
  </si>
  <si>
    <t>Private School District</t>
  </si>
  <si>
    <t>Is school/library independent?</t>
  </si>
  <si>
    <t>Urban/Rural Status</t>
  </si>
  <si>
    <t>User-Entered Urban/Rural Status</t>
  </si>
  <si>
    <t>Longitude</t>
  </si>
  <si>
    <t>Latitude</t>
  </si>
  <si>
    <t>General Contact Name</t>
  </si>
  <si>
    <t>Account Administrator Name</t>
  </si>
  <si>
    <t>Website URL</t>
  </si>
  <si>
    <t>Email</t>
  </si>
  <si>
    <t>Phone Number</t>
  </si>
  <si>
    <t>Mailing Zip Code Ext</t>
  </si>
  <si>
    <t>Mailing Zip Code</t>
  </si>
  <si>
    <t>Mailing State</t>
  </si>
  <si>
    <t>Mailing County</t>
  </si>
  <si>
    <t>Mailing City</t>
  </si>
  <si>
    <t>Mailing Address 2</t>
  </si>
  <si>
    <t>Mailing Address 1</t>
  </si>
  <si>
    <t>Physical Zip Code Ext</t>
  </si>
  <si>
    <t>Physical Zip Code</t>
  </si>
  <si>
    <t>Physical State</t>
  </si>
  <si>
    <t>Physical County</t>
  </si>
  <si>
    <t>Physical City</t>
  </si>
  <si>
    <t>Physical Address 2</t>
  </si>
  <si>
    <t>Physical Address</t>
  </si>
  <si>
    <t>FCC Form 498 Status</t>
  </si>
  <si>
    <t>FCC Form 498 Status Date Time</t>
  </si>
  <si>
    <t>FCC Form 498 Form Number</t>
  </si>
  <si>
    <t>Status</t>
  </si>
  <si>
    <t>FCC Registration Number</t>
  </si>
  <si>
    <t>Parent Entity Type</t>
  </si>
  <si>
    <t>Parent Entity Number</t>
  </si>
  <si>
    <t>Parent Entity Name</t>
  </si>
  <si>
    <t>Entity Type</t>
  </si>
  <si>
    <t>Entity Number</t>
  </si>
  <si>
    <t>HotSpot Budget Students</t>
  </si>
  <si>
    <t>* 20%</t>
  </si>
  <si>
    <t>* 630</t>
  </si>
  <si>
    <t>*District Discount Rate (60%)</t>
  </si>
  <si>
    <t>See RFP - monthly WiFi coverage for the district's 28 buses</t>
  </si>
  <si>
    <t xml:space="preserve">471# </t>
  </si>
  <si>
    <t>Hotspots</t>
  </si>
  <si>
    <t>District seeks monthly hotspot Internet usage for existing 12 devices</t>
  </si>
  <si>
    <t>2025</t>
  </si>
  <si>
    <t>2025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</si>
</sst>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.000000_);_(* \(#,##0.000000\);_(* &quot;-&quot;??_);_(@_)"/>
    <numFmt numFmtId="167" formatCode="_-* #,##0_-;\-* #,##0_-;_-* &quot;-&quot;_-;_-@_-"/>
    <numFmt numFmtId="168" formatCode="_-* #,##0.00_-;\-* #,##0.00_-;_-* &quot;-&quot;??_-;_-@_-"/>
    <numFmt numFmtId="169" formatCode="#,##0.0_);\(#,##0.0\)"/>
    <numFmt numFmtId="170" formatCode="_-* #,##0\ &quot;F&quot;_-;\-* #,##0\ &quot;F&quot;_-;_-* &quot;-&quot;\ &quot;F&quot;_-;_-@_-"/>
    <numFmt numFmtId="171" formatCode="0;0;"/>
    <numFmt numFmtId="172" formatCode="mmmm\ d\,\ yyyy"/>
    <numFmt numFmtId="173" formatCode="0.00_)"/>
    <numFmt numFmtId="174" formatCode="mm/dd/yy"/>
    <numFmt numFmtId="175" formatCode="_-&quot;£&quot;* #,##0_-;\-&quot;£&quot;* #,##0_-;_-&quot;£&quot;* &quot;-&quot;_-;_-@_-"/>
    <numFmt numFmtId="176" formatCode="_-&quot;£&quot;* #,##0.00_-;\-&quot;£&quot;* #,##0.00_-;_-&quot;£&quot;* &quot;-&quot;??_-;_-@_-"/>
    <numFmt numFmtId="177" formatCode="[$-409]mmm\-yy;@"/>
    <numFmt numFmtId="178" formatCode="_(&quot;$&quot;* #,##0_);_(&quot;$&quot;* \(#,##0\);_(&quot;$&quot;* &quot;-&quot;??_);_(@_)"/>
    <numFmt numFmtId="179" formatCode="mm/dd/yy;@"/>
    <numFmt numFmtId="180" formatCode="\$#,##0.00"/>
    <numFmt numFmtId="181" formatCode="\$0.00"/>
    <numFmt numFmtId="182" formatCode="_(* #,##0_);_(* \(#,##0\);_(* &quot;-&quot;??_);_(@_)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Geneva"/>
    </font>
    <font>
      <b/>
      <sz val="10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b/>
      <i/>
      <sz val="16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11"/>
      <color indexed="12"/>
      <name val="MS Sans Serif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0"/>
      <color indexed="64"/>
      <name val="Tahoma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9.5"/>
      <color rgb="FF000000"/>
      <name val="Arial"/>
      <family val="2"/>
    </font>
    <font>
      <sz val="9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2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6"/>
      <color rgb="FF000000"/>
      <name val="Times New Roman"/>
      <family val="1"/>
    </font>
    <font>
      <b/>
      <sz val="1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32136"/>
      </patternFill>
    </fill>
    <fill>
      <patternFill patternType="solid">
        <fgColor rgb="FFF6F6F6"/>
      </patternFill>
    </fill>
    <fill>
      <patternFill patternType="solid">
        <fgColor rgb="FFDEDED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37">
    <xf numFmtId="0" fontId="0" fillId="0" borderId="0"/>
    <xf numFmtId="0" fontId="16" fillId="0" borderId="0">
      <alignment horizontal="center" wrapText="1"/>
      <protection locked="0"/>
    </xf>
    <xf numFmtId="9" fontId="17" fillId="0" borderId="0" applyFont="0" applyFill="0" applyBorder="0" applyAlignment="0" applyProtection="0"/>
    <xf numFmtId="5" fontId="18" fillId="0" borderId="2" applyAlignment="0" applyProtection="0"/>
    <xf numFmtId="166" fontId="14" fillId="0" borderId="0" applyFill="0" applyBorder="0" applyAlignment="0"/>
    <xf numFmtId="0" fontId="19" fillId="0" borderId="0" applyNumberFormat="0" applyAlignment="0">
      <alignment horizontal="left"/>
    </xf>
    <xf numFmtId="0" fontId="20" fillId="0" borderId="0" applyNumberFormat="0" applyAlignment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21" fillId="0" borderId="0" applyNumberFormat="0" applyAlignment="0">
      <alignment horizontal="left"/>
    </xf>
    <xf numFmtId="38" fontId="11" fillId="3" borderId="0" applyNumberFormat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22" fillId="0" borderId="5">
      <alignment horizontal="center"/>
    </xf>
    <xf numFmtId="0" fontId="22" fillId="0" borderId="0">
      <alignment horizontal="center"/>
    </xf>
    <xf numFmtId="10" fontId="11" fillId="4" borderId="1" applyNumberFormat="0" applyBorder="0" applyAlignment="0" applyProtection="0"/>
    <xf numFmtId="169" fontId="23" fillId="5" borderId="0"/>
    <xf numFmtId="0" fontId="17" fillId="0" borderId="0"/>
    <xf numFmtId="169" fontId="24" fillId="6" borderId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25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4" fontId="16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5" fontId="26" fillId="0" borderId="0"/>
    <xf numFmtId="0" fontId="27" fillId="0" borderId="0" applyNumberFormat="0" applyFont="0" applyFill="0" applyBorder="0" applyAlignment="0" applyProtection="0">
      <alignment horizontal="left"/>
    </xf>
    <xf numFmtId="0" fontId="28" fillId="7" borderId="0" applyNumberFormat="0" applyFont="0" applyBorder="0" applyAlignment="0">
      <alignment horizontal="center"/>
    </xf>
    <xf numFmtId="174" fontId="29" fillId="0" borderId="0" applyNumberFormat="0" applyFill="0" applyBorder="0" applyAlignment="0" applyProtection="0">
      <alignment horizontal="left"/>
    </xf>
    <xf numFmtId="0" fontId="28" fillId="1" borderId="4" applyNumberFormat="0" applyFont="0" applyAlignment="0">
      <alignment horizontal="center"/>
    </xf>
    <xf numFmtId="0" fontId="30" fillId="0" borderId="0" applyNumberFormat="0" applyFill="0" applyBorder="0" applyAlignment="0">
      <alignment horizontal="center"/>
    </xf>
    <xf numFmtId="0" fontId="14" fillId="8" borderId="0"/>
    <xf numFmtId="40" fontId="31" fillId="0" borderId="0" applyBorder="0">
      <alignment horizontal="right"/>
    </xf>
    <xf numFmtId="3" fontId="32" fillId="0" borderId="0">
      <alignment horizontal="right" vertical="center"/>
    </xf>
    <xf numFmtId="49" fontId="32" fillId="0" borderId="0">
      <alignment horizontal="right" vertical="center"/>
    </xf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10" applyNumberFormat="0" applyAlignment="0" applyProtection="0"/>
    <xf numFmtId="0" fontId="41" fillId="13" borderId="11" applyNumberFormat="0" applyAlignment="0" applyProtection="0"/>
    <xf numFmtId="0" fontId="42" fillId="13" borderId="10" applyNumberFormat="0" applyAlignment="0" applyProtection="0"/>
    <xf numFmtId="0" fontId="43" fillId="0" borderId="12" applyNumberFormat="0" applyFill="0" applyAlignment="0" applyProtection="0"/>
    <xf numFmtId="0" fontId="44" fillId="14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4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7" fillId="39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166" fontId="8" fillId="0" borderId="0" applyFill="0" applyBorder="0" applyAlignment="0"/>
    <xf numFmtId="0" fontId="48" fillId="0" borderId="0"/>
    <xf numFmtId="0" fontId="8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0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14" applyNumberFormat="0" applyFont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9" fontId="3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3" fillId="0" borderId="0"/>
    <xf numFmtId="177" fontId="8" fillId="0" borderId="0"/>
    <xf numFmtId="177" fontId="3" fillId="0" borderId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177" fontId="16" fillId="0" borderId="0">
      <alignment horizontal="center" wrapText="1"/>
      <protection locked="0"/>
    </xf>
    <xf numFmtId="166" fontId="8" fillId="0" borderId="0" applyFill="0" applyBorder="0" applyAlignment="0"/>
    <xf numFmtId="43" fontId="52" fillId="0" borderId="0" applyFont="0" applyFill="0" applyBorder="0" applyAlignment="0" applyProtection="0"/>
    <xf numFmtId="177" fontId="19" fillId="0" borderId="0" applyNumberFormat="0" applyAlignment="0">
      <alignment horizontal="left"/>
    </xf>
    <xf numFmtId="177" fontId="20" fillId="0" borderId="0" applyNumberFormat="0" applyAlignment="0"/>
    <xf numFmtId="44" fontId="51" fillId="0" borderId="0" applyFont="0" applyFill="0" applyBorder="0" applyAlignment="0" applyProtection="0"/>
    <xf numFmtId="177" fontId="21" fillId="0" borderId="0" applyNumberFormat="0" applyAlignment="0">
      <alignment horizontal="left"/>
    </xf>
    <xf numFmtId="177" fontId="15" fillId="0" borderId="3" applyNumberFormat="0" applyAlignment="0" applyProtection="0">
      <alignment horizontal="left" vertical="center"/>
    </xf>
    <xf numFmtId="177" fontId="15" fillId="0" borderId="4">
      <alignment horizontal="left" vertical="center"/>
    </xf>
    <xf numFmtId="177" fontId="22" fillId="0" borderId="5">
      <alignment horizontal="center"/>
    </xf>
    <xf numFmtId="177" fontId="22" fillId="0" borderId="0">
      <alignment horizontal="center"/>
    </xf>
    <xf numFmtId="177" fontId="49" fillId="0" borderId="0" applyNumberFormat="0" applyFill="0" applyBorder="0" applyAlignment="0" applyProtection="0"/>
    <xf numFmtId="177" fontId="17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177" fontId="8" fillId="0" borderId="0"/>
    <xf numFmtId="177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8" fillId="0" borderId="0"/>
    <xf numFmtId="177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8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8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14" applyNumberFormat="0" applyFont="0" applyAlignment="0" applyProtection="0"/>
    <xf numFmtId="10" fontId="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7" fontId="27" fillId="0" borderId="0" applyNumberFormat="0" applyFont="0" applyFill="0" applyBorder="0" applyAlignment="0" applyProtection="0">
      <alignment horizontal="left"/>
    </xf>
    <xf numFmtId="177" fontId="28" fillId="7" borderId="0" applyNumberFormat="0" applyFont="0" applyBorder="0" applyAlignment="0">
      <alignment horizontal="center"/>
    </xf>
    <xf numFmtId="177" fontId="28" fillId="1" borderId="4" applyNumberFormat="0" applyFont="0" applyAlignment="0">
      <alignment horizontal="center"/>
    </xf>
    <xf numFmtId="177" fontId="30" fillId="0" borderId="0" applyNumberFormat="0" applyFill="0" applyBorder="0" applyAlignment="0">
      <alignment horizont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44" fontId="54" fillId="0" borderId="0" applyFont="0" applyFill="0" applyBorder="0" applyAlignment="0" applyProtection="0"/>
    <xf numFmtId="0" fontId="55" fillId="0" borderId="0"/>
    <xf numFmtId="0" fontId="49" fillId="0" borderId="0" applyNumberForma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1" fillId="0" borderId="0" xfId="0" applyFont="1" applyAlignment="1">
      <alignment vertic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9" fillId="0" borderId="0" xfId="0" applyFont="1"/>
    <xf numFmtId="0" fontId="11" fillId="0" borderId="1" xfId="0" applyFont="1" applyBorder="1"/>
    <xf numFmtId="44" fontId="0" fillId="0" borderId="0" xfId="0" applyNumberFormat="1"/>
    <xf numFmtId="42" fontId="0" fillId="0" borderId="0" xfId="0" applyNumberFormat="1"/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0" borderId="0" xfId="0" applyFont="1" applyFill="1" applyAlignment="1">
      <alignment horizontal="center" vertical="center"/>
    </xf>
    <xf numFmtId="0" fontId="9" fillId="40" borderId="0" xfId="0" applyFont="1" applyFill="1" applyAlignment="1">
      <alignment horizontal="center" wrapText="1"/>
    </xf>
    <xf numFmtId="164" fontId="13" fillId="40" borderId="0" xfId="0" applyNumberFormat="1" applyFont="1" applyFill="1" applyAlignment="1">
      <alignment horizontal="center" vertical="center" wrapText="1"/>
    </xf>
    <xf numFmtId="0" fontId="13" fillId="40" borderId="0" xfId="0" applyFont="1" applyFill="1" applyAlignment="1">
      <alignment horizontal="center" vertical="center" wrapText="1"/>
    </xf>
    <xf numFmtId="0" fontId="13" fillId="40" borderId="0" xfId="0" applyFont="1" applyFill="1" applyAlignment="1">
      <alignment vertical="center"/>
    </xf>
    <xf numFmtId="44" fontId="13" fillId="40" borderId="0" xfId="0" applyNumberFormat="1" applyFont="1" applyFill="1" applyAlignment="1">
      <alignment vertical="center"/>
    </xf>
    <xf numFmtId="0" fontId="14" fillId="4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40" borderId="0" xfId="0" applyFont="1" applyFill="1" applyAlignment="1">
      <alignment horizontal="center" wrapText="1"/>
    </xf>
    <xf numFmtId="44" fontId="12" fillId="40" borderId="0" xfId="0" applyNumberFormat="1" applyFont="1" applyFill="1" applyAlignment="1">
      <alignment horizontal="center" wrapText="1"/>
    </xf>
    <xf numFmtId="0" fontId="13" fillId="40" borderId="0" xfId="0" quotePrefix="1" applyFont="1" applyFill="1" applyAlignment="1">
      <alignment horizontal="center"/>
    </xf>
    <xf numFmtId="42" fontId="12" fillId="40" borderId="0" xfId="0" applyNumberFormat="1" applyFont="1" applyFill="1" applyAlignment="1">
      <alignment horizontal="center" wrapText="1"/>
    </xf>
    <xf numFmtId="0" fontId="10" fillId="40" borderId="0" xfId="0" applyFont="1" applyFill="1" applyAlignment="1">
      <alignment horizontal="center" wrapText="1"/>
    </xf>
    <xf numFmtId="0" fontId="12" fillId="40" borderId="16" xfId="0" applyFont="1" applyFill="1" applyBorder="1" applyAlignment="1">
      <alignment horizontal="center" wrapText="1"/>
    </xf>
    <xf numFmtId="0" fontId="9" fillId="40" borderId="16" xfId="0" applyFont="1" applyFill="1" applyBorder="1" applyAlignment="1">
      <alignment horizontal="center" wrapText="1"/>
    </xf>
    <xf numFmtId="49" fontId="12" fillId="40" borderId="0" xfId="0" applyNumberFormat="1" applyFont="1" applyFill="1" applyAlignment="1">
      <alignment horizontal="center" wrapText="1"/>
    </xf>
    <xf numFmtId="14" fontId="9" fillId="40" borderId="0" xfId="0" applyNumberFormat="1" applyFont="1" applyFill="1" applyAlignment="1">
      <alignment horizontal="center" wrapText="1"/>
    </xf>
    <xf numFmtId="0" fontId="9" fillId="40" borderId="0" xfId="0" applyFont="1" applyFill="1" applyAlignment="1">
      <alignment horizontal="center"/>
    </xf>
    <xf numFmtId="0" fontId="9" fillId="40" borderId="0" xfId="0" applyFont="1" applyFill="1"/>
    <xf numFmtId="9" fontId="13" fillId="40" borderId="0" xfId="0" applyNumberFormat="1" applyFont="1" applyFill="1" applyAlignment="1">
      <alignment horizontal="center" vertical="center"/>
    </xf>
    <xf numFmtId="0" fontId="55" fillId="0" borderId="0" xfId="335" applyAlignment="1">
      <alignment horizontal="left" vertical="top"/>
    </xf>
    <xf numFmtId="1" fontId="58" fillId="0" borderId="0" xfId="335" applyNumberFormat="1" applyFont="1" applyAlignment="1">
      <alignment horizontal="center" vertical="top" shrinkToFit="1"/>
    </xf>
    <xf numFmtId="0" fontId="8" fillId="0" borderId="0" xfId="335" applyFont="1" applyAlignment="1">
      <alignment vertical="top" wrapText="1"/>
    </xf>
    <xf numFmtId="178" fontId="59" fillId="0" borderId="0" xfId="335" applyNumberFormat="1" applyFont="1" applyAlignment="1">
      <alignment horizontal="left" vertical="top"/>
    </xf>
    <xf numFmtId="1" fontId="11" fillId="40" borderId="0" xfId="0" applyNumberFormat="1" applyFont="1" applyFill="1" applyAlignment="1">
      <alignment horizontal="center" vertical="center" wrapText="1"/>
    </xf>
    <xf numFmtId="44" fontId="11" fillId="40" borderId="0" xfId="46" applyFont="1" applyFill="1" applyAlignment="1">
      <alignment horizontal="center" vertical="center" wrapText="1"/>
    </xf>
    <xf numFmtId="44" fontId="11" fillId="40" borderId="0" xfId="0" applyNumberFormat="1" applyFont="1" applyFill="1" applyAlignment="1">
      <alignment vertical="center" wrapText="1"/>
    </xf>
    <xf numFmtId="0" fontId="11" fillId="40" borderId="0" xfId="0" applyFont="1" applyFill="1" applyAlignment="1">
      <alignment horizontal="center" vertical="center" wrapText="1"/>
    </xf>
    <xf numFmtId="165" fontId="11" fillId="40" borderId="0" xfId="0" applyNumberFormat="1" applyFont="1" applyFill="1" applyAlignment="1">
      <alignment horizontal="center" vertical="center"/>
    </xf>
    <xf numFmtId="49" fontId="11" fillId="40" borderId="0" xfId="0" applyNumberFormat="1" applyFont="1" applyFill="1" applyAlignment="1">
      <alignment horizontal="center" vertical="center"/>
    </xf>
    <xf numFmtId="1" fontId="10" fillId="40" borderId="0" xfId="0" applyNumberFormat="1" applyFont="1" applyFill="1" applyAlignment="1">
      <alignment horizontal="center" vertical="center"/>
    </xf>
    <xf numFmtId="14" fontId="11" fillId="40" borderId="0" xfId="0" applyNumberFormat="1" applyFont="1" applyFill="1" applyAlignment="1">
      <alignment horizontal="center" vertical="center"/>
    </xf>
    <xf numFmtId="0" fontId="8" fillId="0" borderId="0" xfId="113" applyAlignment="1">
      <alignment horizontal="center"/>
    </xf>
    <xf numFmtId="0" fontId="12" fillId="0" borderId="0" xfId="113" applyFont="1" applyAlignment="1">
      <alignment vertical="center" wrapText="1"/>
    </xf>
    <xf numFmtId="44" fontId="12" fillId="0" borderId="0" xfId="46" applyFont="1" applyAlignment="1">
      <alignment horizontal="center"/>
    </xf>
    <xf numFmtId="0" fontId="12" fillId="0" borderId="0" xfId="113" applyFont="1" applyAlignment="1">
      <alignment horizontal="center"/>
    </xf>
    <xf numFmtId="0" fontId="8" fillId="0" borderId="0" xfId="113"/>
    <xf numFmtId="0" fontId="8" fillId="0" borderId="0" xfId="113" applyAlignment="1">
      <alignment vertical="center" wrapText="1"/>
    </xf>
    <xf numFmtId="44" fontId="8" fillId="0" borderId="0" xfId="46"/>
    <xf numFmtId="37" fontId="8" fillId="0" borderId="0" xfId="46" applyNumberFormat="1"/>
    <xf numFmtId="7" fontId="8" fillId="0" borderId="0" xfId="46" applyNumberFormat="1"/>
    <xf numFmtId="44" fontId="8" fillId="0" borderId="0" xfId="113" applyNumberFormat="1"/>
    <xf numFmtId="0" fontId="60" fillId="0" borderId="0" xfId="113" applyFont="1" applyAlignment="1">
      <alignment horizontal="center"/>
    </xf>
    <xf numFmtId="0" fontId="60" fillId="40" borderId="0" xfId="113" applyFont="1" applyFill="1"/>
    <xf numFmtId="44" fontId="60" fillId="40" borderId="0" xfId="46" applyFont="1" applyFill="1"/>
    <xf numFmtId="0" fontId="60" fillId="0" borderId="0" xfId="113" applyFont="1"/>
    <xf numFmtId="0" fontId="12" fillId="0" borderId="0" xfId="113" applyFont="1"/>
    <xf numFmtId="44" fontId="60" fillId="0" borderId="0" xfId="46" applyFont="1"/>
    <xf numFmtId="165" fontId="60" fillId="0" borderId="0" xfId="113" applyNumberFormat="1" applyFont="1"/>
    <xf numFmtId="165" fontId="60" fillId="0" borderId="0" xfId="46" applyNumberFormat="1" applyFont="1"/>
    <xf numFmtId="0" fontId="63" fillId="0" borderId="0" xfId="113" applyFont="1" applyAlignment="1">
      <alignment horizontal="center"/>
    </xf>
    <xf numFmtId="0" fontId="10" fillId="0" borderId="0" xfId="113" applyFont="1"/>
    <xf numFmtId="0" fontId="9" fillId="0" borderId="0" xfId="113" applyFont="1" applyAlignment="1">
      <alignment horizontal="center"/>
    </xf>
    <xf numFmtId="44" fontId="9" fillId="0" borderId="0" xfId="46" applyFont="1" applyAlignment="1">
      <alignment horizontal="center"/>
    </xf>
    <xf numFmtId="1" fontId="62" fillId="0" borderId="0" xfId="335" applyNumberFormat="1" applyFont="1" applyAlignment="1">
      <alignment horizontal="center" vertical="center" shrinkToFit="1"/>
    </xf>
    <xf numFmtId="0" fontId="10" fillId="0" borderId="0" xfId="335" applyFont="1" applyAlignment="1">
      <alignment vertical="center" wrapText="1"/>
    </xf>
    <xf numFmtId="44" fontId="10" fillId="0" borderId="0" xfId="46" applyFont="1" applyAlignment="1">
      <alignment vertical="center"/>
    </xf>
    <xf numFmtId="44" fontId="8" fillId="0" borderId="0" xfId="46" applyAlignment="1">
      <alignment vertical="center"/>
    </xf>
    <xf numFmtId="44" fontId="8" fillId="0" borderId="0" xfId="113" applyNumberFormat="1" applyAlignment="1">
      <alignment vertical="center"/>
    </xf>
    <xf numFmtId="42" fontId="8" fillId="0" borderId="0" xfId="113" applyNumberFormat="1" applyAlignment="1">
      <alignment vertical="center"/>
    </xf>
    <xf numFmtId="0" fontId="60" fillId="0" borderId="0" xfId="113" applyFont="1" applyAlignment="1">
      <alignment vertical="center"/>
    </xf>
    <xf numFmtId="44" fontId="9" fillId="0" borderId="0" xfId="46" applyFont="1" applyAlignment="1">
      <alignment vertical="center"/>
    </xf>
    <xf numFmtId="44" fontId="12" fillId="0" borderId="0" xfId="46" applyFont="1" applyAlignment="1">
      <alignment vertical="center"/>
    </xf>
    <xf numFmtId="0" fontId="61" fillId="0" borderId="0" xfId="113" applyFont="1" applyAlignment="1">
      <alignment vertical="center"/>
    </xf>
    <xf numFmtId="179" fontId="12" fillId="42" borderId="0" xfId="98" applyNumberFormat="1" applyFont="1" applyFill="1" applyAlignment="1">
      <alignment horizontal="center" vertical="center"/>
    </xf>
    <xf numFmtId="0" fontId="12" fillId="42" borderId="0" xfId="98" applyFont="1" applyFill="1" applyAlignment="1">
      <alignment horizontal="center" vertical="center"/>
    </xf>
    <xf numFmtId="0" fontId="12" fillId="42" borderId="0" xfId="98" applyFont="1" applyFill="1" applyAlignment="1">
      <alignment horizontal="center"/>
    </xf>
    <xf numFmtId="0" fontId="12" fillId="42" borderId="0" xfId="98" applyFont="1" applyFill="1" applyAlignment="1">
      <alignment horizontal="center" vertical="center" wrapText="1"/>
    </xf>
    <xf numFmtId="0" fontId="12" fillId="0" borderId="0" xfId="98" applyFont="1" applyAlignment="1">
      <alignment horizontal="center"/>
    </xf>
    <xf numFmtId="0" fontId="8" fillId="0" borderId="0" xfId="98"/>
    <xf numFmtId="179" fontId="8" fillId="0" borderId="0" xfId="98" applyNumberFormat="1"/>
    <xf numFmtId="0" fontId="8" fillId="0" borderId="0" xfId="98" applyAlignment="1">
      <alignment horizontal="center"/>
    </xf>
    <xf numFmtId="0" fontId="8" fillId="0" borderId="0" xfId="98" applyAlignment="1">
      <alignment wrapText="1"/>
    </xf>
    <xf numFmtId="44" fontId="11" fillId="0" borderId="0" xfId="0" applyNumberFormat="1" applyFont="1" applyAlignment="1">
      <alignment horizontal="center" vertical="center" wrapText="1"/>
    </xf>
    <xf numFmtId="1" fontId="60" fillId="0" borderId="0" xfId="113" applyNumberFormat="1" applyFont="1"/>
    <xf numFmtId="0" fontId="12" fillId="0" borderId="0" xfId="113" applyFont="1" applyAlignment="1">
      <alignment horizontal="center" wrapText="1"/>
    </xf>
    <xf numFmtId="44" fontId="12" fillId="0" borderId="0" xfId="46" applyFont="1" applyAlignment="1">
      <alignment horizontal="center" wrapText="1"/>
    </xf>
    <xf numFmtId="165" fontId="8" fillId="0" borderId="0" xfId="113" applyNumberFormat="1"/>
    <xf numFmtId="8" fontId="8" fillId="0" borderId="0" xfId="46" applyNumberFormat="1"/>
    <xf numFmtId="165" fontId="8" fillId="0" borderId="0" xfId="46" applyNumberFormat="1"/>
    <xf numFmtId="8" fontId="8" fillId="0" borderId="0" xfId="113" applyNumberFormat="1"/>
    <xf numFmtId="6" fontId="8" fillId="0" borderId="0" xfId="46" applyNumberFormat="1"/>
    <xf numFmtId="0" fontId="12" fillId="0" borderId="0" xfId="113" applyFont="1" applyAlignment="1">
      <alignment vertical="center"/>
    </xf>
    <xf numFmtId="44" fontId="61" fillId="0" borderId="0" xfId="46" applyFont="1" applyAlignment="1">
      <alignment vertical="center"/>
    </xf>
    <xf numFmtId="0" fontId="8" fillId="40" borderId="0" xfId="113" applyFill="1" applyAlignment="1">
      <alignment vertical="center" wrapText="1"/>
    </xf>
    <xf numFmtId="44" fontId="8" fillId="40" borderId="0" xfId="46" applyFill="1"/>
    <xf numFmtId="165" fontId="8" fillId="40" borderId="0" xfId="113" applyNumberFormat="1" applyFill="1"/>
    <xf numFmtId="0" fontId="8" fillId="40" borderId="0" xfId="113" applyFill="1"/>
    <xf numFmtId="44" fontId="10" fillId="0" borderId="0" xfId="334" applyFont="1"/>
    <xf numFmtId="44" fontId="9" fillId="0" borderId="0" xfId="334" applyFont="1"/>
    <xf numFmtId="0" fontId="8" fillId="0" borderId="0" xfId="0" applyFont="1"/>
    <xf numFmtId="44" fontId="10" fillId="0" borderId="0" xfId="334" applyFont="1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>
      <alignment horizontal="center" vertical="center" wrapText="1"/>
    </xf>
    <xf numFmtId="44" fontId="10" fillId="0" borderId="0" xfId="334" applyFont="1" applyAlignment="1">
      <alignment horizontal="center" vertical="center" wrapText="1"/>
    </xf>
    <xf numFmtId="44" fontId="10" fillId="0" borderId="0" xfId="334" applyFont="1" applyAlignment="1" applyProtection="1">
      <alignment horizontal="center" vertical="center"/>
      <protection hidden="1"/>
    </xf>
    <xf numFmtId="0" fontId="0" fillId="42" borderId="0" xfId="0" applyFill="1" applyProtection="1">
      <protection locked="0"/>
    </xf>
    <xf numFmtId="44" fontId="0" fillId="0" borderId="0" xfId="0" applyNumberFormat="1" applyProtection="1">
      <protection locked="0"/>
    </xf>
    <xf numFmtId="0" fontId="8" fillId="0" borderId="0" xfId="0" applyFont="1" applyAlignment="1" applyProtection="1">
      <alignment wrapText="1"/>
      <protection locked="0"/>
    </xf>
    <xf numFmtId="44" fontId="8" fillId="0" borderId="0" xfId="334" applyFont="1" applyProtection="1">
      <protection locked="0"/>
    </xf>
    <xf numFmtId="44" fontId="0" fillId="0" borderId="0" xfId="334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4" fontId="10" fillId="0" borderId="0" xfId="334" applyFont="1" applyAlignment="1">
      <alignment vertical="center"/>
    </xf>
    <xf numFmtId="44" fontId="9" fillId="0" borderId="0" xfId="334" applyFont="1" applyAlignment="1">
      <alignment vertical="center"/>
    </xf>
    <xf numFmtId="0" fontId="8" fillId="0" borderId="0" xfId="113" applyAlignment="1">
      <alignment horizontal="center" vertical="center"/>
    </xf>
    <xf numFmtId="0" fontId="12" fillId="0" borderId="0" xfId="113" applyFont="1" applyAlignment="1">
      <alignment horizontal="center" vertical="center"/>
    </xf>
    <xf numFmtId="0" fontId="9" fillId="42" borderId="0" xfId="0" applyFont="1" applyFill="1" applyAlignment="1" applyProtection="1">
      <alignment horizontal="center" vertical="center" wrapText="1"/>
      <protection locked="0"/>
    </xf>
    <xf numFmtId="0" fontId="9" fillId="42" borderId="0" xfId="0" applyFont="1" applyFill="1" applyAlignment="1">
      <alignment horizontal="center" vertical="center" wrapText="1"/>
    </xf>
    <xf numFmtId="44" fontId="9" fillId="42" borderId="0" xfId="334" applyFont="1" applyFill="1" applyAlignment="1">
      <alignment horizontal="center" vertical="center" wrapText="1"/>
    </xf>
    <xf numFmtId="44" fontId="9" fillId="42" borderId="0" xfId="334" applyFont="1" applyFill="1" applyAlignment="1" applyProtection="1">
      <alignment horizontal="center" vertical="center"/>
      <protection hidden="1"/>
    </xf>
    <xf numFmtId="44" fontId="12" fillId="42" borderId="0" xfId="0" applyNumberFormat="1" applyFont="1" applyFill="1" applyAlignment="1" applyProtection="1">
      <alignment horizontal="center" vertical="center" wrapText="1"/>
      <protection locked="0"/>
    </xf>
    <xf numFmtId="0" fontId="12" fillId="42" borderId="0" xfId="0" applyFont="1" applyFill="1" applyProtection="1">
      <protection locked="0"/>
    </xf>
    <xf numFmtId="0" fontId="67" fillId="42" borderId="0" xfId="0" applyFont="1" applyFill="1" applyAlignment="1" applyProtection="1">
      <alignment horizontal="center" wrapText="1"/>
      <protection locked="0"/>
    </xf>
    <xf numFmtId="0" fontId="67" fillId="42" borderId="0" xfId="0" applyFont="1" applyFill="1" applyAlignment="1" applyProtection="1">
      <alignment horizontal="center" wrapText="1"/>
      <protection hidden="1"/>
    </xf>
    <xf numFmtId="0" fontId="68" fillId="42" borderId="0" xfId="0" applyFont="1" applyFill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7" fontId="10" fillId="0" borderId="0" xfId="334" applyNumberFormat="1" applyFont="1" applyAlignment="1">
      <alignment horizontal="center" vertical="center" wrapText="1"/>
    </xf>
    <xf numFmtId="0" fontId="12" fillId="42" borderId="0" xfId="0" applyFont="1" applyFill="1" applyAlignment="1" applyProtection="1">
      <alignment horizontal="center" vertical="center" wrapText="1"/>
      <protection locked="0"/>
    </xf>
    <xf numFmtId="0" fontId="60" fillId="42" borderId="0" xfId="113" applyFont="1" applyFill="1"/>
    <xf numFmtId="0" fontId="8" fillId="41" borderId="0" xfId="113" applyFill="1" applyAlignment="1">
      <alignment horizontal="center" vertical="center"/>
    </xf>
    <xf numFmtId="1" fontId="62" fillId="41" borderId="0" xfId="335" applyNumberFormat="1" applyFont="1" applyFill="1" applyAlignment="1">
      <alignment horizontal="center" vertical="center" shrinkToFit="1"/>
    </xf>
    <xf numFmtId="0" fontId="10" fillId="41" borderId="0" xfId="335" applyFont="1" applyFill="1" applyAlignment="1">
      <alignment vertical="center" wrapText="1"/>
    </xf>
    <xf numFmtId="44" fontId="10" fillId="41" borderId="0" xfId="334" applyFont="1" applyFill="1" applyAlignment="1">
      <alignment vertical="center"/>
    </xf>
    <xf numFmtId="44" fontId="8" fillId="41" borderId="0" xfId="113" applyNumberFormat="1" applyFill="1" applyAlignment="1">
      <alignment vertical="center"/>
    </xf>
    <xf numFmtId="44" fontId="10" fillId="41" borderId="0" xfId="334" applyFont="1" applyFill="1" applyAlignment="1">
      <alignment vertical="center" wrapText="1"/>
    </xf>
    <xf numFmtId="0" fontId="69" fillId="0" borderId="6" xfId="0" applyFont="1" applyBorder="1" applyAlignment="1">
      <alignment horizontal="center" vertical="center"/>
    </xf>
    <xf numFmtId="0" fontId="71" fillId="40" borderId="16" xfId="113" applyFont="1" applyFill="1" applyBorder="1" applyAlignment="1">
      <alignment vertical="center" wrapText="1"/>
    </xf>
    <xf numFmtId="0" fontId="63" fillId="0" borderId="0" xfId="113" applyFont="1"/>
    <xf numFmtId="0" fontId="12" fillId="0" borderId="1" xfId="113" applyFont="1" applyBorder="1" applyAlignment="1">
      <alignment horizontal="center"/>
    </xf>
    <xf numFmtId="44" fontId="12" fillId="0" borderId="1" xfId="46" applyFont="1" applyBorder="1" applyAlignment="1">
      <alignment horizontal="center" wrapText="1"/>
    </xf>
    <xf numFmtId="0" fontId="12" fillId="0" borderId="1" xfId="113" applyFont="1" applyBorder="1" applyAlignment="1">
      <alignment horizontal="center" wrapText="1"/>
    </xf>
    <xf numFmtId="44" fontId="12" fillId="0" borderId="1" xfId="46" applyFont="1" applyFill="1" applyBorder="1" applyAlignment="1">
      <alignment horizontal="center" wrapText="1"/>
    </xf>
    <xf numFmtId="165" fontId="12" fillId="0" borderId="1" xfId="46" applyNumberFormat="1" applyFont="1" applyFill="1" applyBorder="1" applyAlignment="1">
      <alignment horizontal="center" wrapText="1"/>
    </xf>
    <xf numFmtId="178" fontId="8" fillId="0" borderId="1" xfId="46" applyNumberFormat="1" applyFont="1" applyFill="1" applyBorder="1"/>
    <xf numFmtId="178" fontId="8" fillId="0" borderId="1" xfId="46" applyNumberFormat="1" applyFont="1" applyBorder="1"/>
    <xf numFmtId="0" fontId="11" fillId="0" borderId="0" xfId="113" applyFont="1"/>
    <xf numFmtId="42" fontId="11" fillId="0" borderId="0" xfId="113" applyNumberFormat="1" applyFont="1"/>
    <xf numFmtId="0" fontId="12" fillId="0" borderId="1" xfId="113" applyFont="1" applyBorder="1"/>
    <xf numFmtId="37" fontId="12" fillId="0" borderId="1" xfId="46" applyNumberFormat="1" applyFont="1" applyBorder="1" applyAlignment="1">
      <alignment horizontal="center"/>
    </xf>
    <xf numFmtId="178" fontId="12" fillId="0" borderId="1" xfId="46" applyNumberFormat="1" applyFont="1" applyFill="1" applyBorder="1" applyAlignment="1">
      <alignment horizontal="center"/>
    </xf>
    <xf numFmtId="44" fontId="12" fillId="0" borderId="0" xfId="46" applyFont="1"/>
    <xf numFmtId="0" fontId="12" fillId="42" borderId="0" xfId="113" applyFont="1" applyFill="1"/>
    <xf numFmtId="0" fontId="12" fillId="42" borderId="4" xfId="113" applyFont="1" applyFill="1" applyBorder="1"/>
    <xf numFmtId="8" fontId="0" fillId="0" borderId="0" xfId="0" applyNumberFormat="1"/>
    <xf numFmtId="6" fontId="0" fillId="0" borderId="0" xfId="0" applyNumberFormat="1"/>
    <xf numFmtId="178" fontId="8" fillId="0" borderId="1" xfId="334" applyNumberFormat="1" applyFont="1" applyFill="1" applyBorder="1"/>
    <xf numFmtId="178" fontId="8" fillId="0" borderId="1" xfId="334" applyNumberFormat="1" applyFont="1" applyBorder="1"/>
    <xf numFmtId="178" fontId="12" fillId="0" borderId="1" xfId="334" applyNumberFormat="1" applyFont="1" applyBorder="1" applyAlignment="1">
      <alignment horizontal="center"/>
    </xf>
    <xf numFmtId="0" fontId="8" fillId="0" borderId="1" xfId="113" applyBorder="1"/>
    <xf numFmtId="1" fontId="56" fillId="0" borderId="1" xfId="335" applyNumberFormat="1" applyFont="1" applyBorder="1" applyAlignment="1">
      <alignment horizontal="center" vertical="top" shrinkToFit="1"/>
    </xf>
    <xf numFmtId="0" fontId="57" fillId="0" borderId="1" xfId="335" applyFont="1" applyBorder="1" applyAlignment="1">
      <alignment vertical="top" wrapText="1"/>
    </xf>
    <xf numFmtId="1" fontId="58" fillId="0" borderId="1" xfId="335" applyNumberFormat="1" applyFont="1" applyBorder="1" applyAlignment="1">
      <alignment horizontal="center" vertical="top" shrinkToFit="1"/>
    </xf>
    <xf numFmtId="1" fontId="11" fillId="0" borderId="0" xfId="0" applyNumberFormat="1" applyFont="1" applyAlignment="1">
      <alignment horizontal="center" vertical="center" wrapText="1"/>
    </xf>
    <xf numFmtId="44" fontId="11" fillId="0" borderId="0" xfId="46" applyFont="1" applyAlignment="1">
      <alignment horizontal="center" vertical="center" wrapText="1"/>
    </xf>
    <xf numFmtId="44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73" fillId="0" borderId="0" xfId="0" applyFont="1"/>
    <xf numFmtId="0" fontId="7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" fontId="74" fillId="0" borderId="0" xfId="43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42" fontId="10" fillId="0" borderId="0" xfId="0" applyNumberFormat="1" applyFont="1" applyAlignment="1">
      <alignment horizontal="left" vertical="center"/>
    </xf>
    <xf numFmtId="44" fontId="10" fillId="0" borderId="0" xfId="334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73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75" fillId="42" borderId="1" xfId="0" applyFont="1" applyFill="1" applyBorder="1" applyAlignment="1" applyProtection="1">
      <alignment horizontal="center" vertical="center" wrapText="1"/>
      <protection locked="0"/>
    </xf>
    <xf numFmtId="0" fontId="75" fillId="42" borderId="1" xfId="0" applyFont="1" applyFill="1" applyBorder="1" applyAlignment="1" applyProtection="1">
      <alignment horizontal="center" wrapText="1"/>
      <protection hidden="1"/>
    </xf>
    <xf numFmtId="0" fontId="67" fillId="42" borderId="1" xfId="0" applyFont="1" applyFill="1" applyBorder="1" applyAlignment="1" applyProtection="1">
      <alignment horizontal="center" wrapText="1"/>
      <protection locked="0"/>
    </xf>
    <xf numFmtId="0" fontId="67" fillId="42" borderId="1" xfId="0" applyFont="1" applyFill="1" applyBorder="1" applyAlignment="1" applyProtection="1">
      <alignment horizontal="center" wrapText="1"/>
      <protection hidden="1"/>
    </xf>
    <xf numFmtId="0" fontId="68" fillId="42" borderId="1" xfId="0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44" fontId="10" fillId="0" borderId="1" xfId="334" applyFont="1" applyBorder="1" applyAlignment="1">
      <alignment horizontal="center" vertical="center" wrapText="1"/>
    </xf>
    <xf numFmtId="44" fontId="10" fillId="0" borderId="1" xfId="334" applyFont="1" applyBorder="1" applyAlignment="1" applyProtection="1">
      <alignment horizontal="center" vertical="center"/>
      <protection hidden="1"/>
    </xf>
    <xf numFmtId="44" fontId="10" fillId="0" borderId="1" xfId="334" applyFont="1" applyFill="1" applyBorder="1" applyAlignment="1" applyProtection="1">
      <alignment horizontal="center" vertical="center"/>
      <protection hidden="1"/>
    </xf>
    <xf numFmtId="0" fontId="76" fillId="40" borderId="1" xfId="0" applyFont="1" applyFill="1" applyBorder="1" applyAlignment="1" applyProtection="1">
      <alignment horizontal="center"/>
      <protection hidden="1"/>
    </xf>
    <xf numFmtId="44" fontId="76" fillId="40" borderId="1" xfId="334" applyFont="1" applyFill="1" applyBorder="1" applyAlignment="1">
      <alignment horizontal="center" vertical="center" wrapText="1"/>
    </xf>
    <xf numFmtId="44" fontId="76" fillId="40" borderId="1" xfId="334" applyFont="1" applyFill="1" applyBorder="1" applyAlignment="1" applyProtection="1">
      <alignment horizontal="center"/>
      <protection hidden="1"/>
    </xf>
    <xf numFmtId="44" fontId="74" fillId="0" borderId="1" xfId="334" applyFont="1" applyBorder="1" applyAlignment="1" applyProtection="1">
      <alignment horizontal="center" vertical="center"/>
      <protection hidden="1"/>
    </xf>
    <xf numFmtId="0" fontId="77" fillId="42" borderId="1" xfId="0" applyFont="1" applyFill="1" applyBorder="1" applyAlignment="1" applyProtection="1">
      <alignment horizontal="left" vertical="center" wrapText="1"/>
      <protection locked="0"/>
    </xf>
    <xf numFmtId="44" fontId="0" fillId="43" borderId="0" xfId="0" applyNumberFormat="1" applyFill="1"/>
    <xf numFmtId="44" fontId="74" fillId="43" borderId="1" xfId="334" applyFont="1" applyFill="1" applyBorder="1" applyAlignment="1" applyProtection="1">
      <alignment horizontal="center" vertical="center"/>
      <protection hidden="1"/>
    </xf>
    <xf numFmtId="37" fontId="8" fillId="0" borderId="1" xfId="46" applyNumberFormat="1" applyFont="1" applyBorder="1" applyAlignment="1">
      <alignment horizontal="center"/>
    </xf>
    <xf numFmtId="37" fontId="12" fillId="0" borderId="0" xfId="46" applyNumberFormat="1" applyFont="1" applyBorder="1" applyAlignment="1">
      <alignment horizontal="center"/>
    </xf>
    <xf numFmtId="44" fontId="74" fillId="44" borderId="1" xfId="334" applyFont="1" applyFill="1" applyBorder="1" applyAlignment="1" applyProtection="1">
      <alignment horizontal="center" vertical="center"/>
      <protection hidden="1"/>
    </xf>
    <xf numFmtId="44" fontId="0" fillId="44" borderId="0" xfId="0" applyNumberFormat="1" applyFill="1"/>
    <xf numFmtId="44" fontId="10" fillId="45" borderId="0" xfId="334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4" fontId="12" fillId="0" borderId="24" xfId="46" applyFont="1" applyFill="1" applyBorder="1" applyAlignment="1">
      <alignment horizontal="center" wrapText="1"/>
    </xf>
    <xf numFmtId="0" fontId="12" fillId="0" borderId="6" xfId="11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8" fillId="0" borderId="1" xfId="334" applyNumberFormat="1" applyFont="1" applyBorder="1" applyAlignment="1">
      <alignment horizontal="right"/>
    </xf>
    <xf numFmtId="165" fontId="8" fillId="0" borderId="1" xfId="334" applyNumberFormat="1" applyFont="1" applyFill="1" applyBorder="1" applyAlignment="1">
      <alignment horizontal="right"/>
    </xf>
    <xf numFmtId="165" fontId="8" fillId="0" borderId="4" xfId="334" applyNumberFormat="1" applyFont="1" applyBorder="1" applyAlignment="1">
      <alignment horizontal="right"/>
    </xf>
    <xf numFmtId="165" fontId="8" fillId="0" borderId="1" xfId="46" applyNumberFormat="1" applyFont="1" applyFill="1" applyBorder="1" applyAlignment="1">
      <alignment horizontal="right"/>
    </xf>
    <xf numFmtId="165" fontId="8" fillId="0" borderId="1" xfId="46" applyNumberFormat="1" applyFill="1" applyBorder="1" applyAlignment="1">
      <alignment horizontal="right"/>
    </xf>
    <xf numFmtId="165" fontId="8" fillId="0" borderId="6" xfId="334" applyNumberFormat="1" applyFont="1" applyBorder="1" applyAlignment="1">
      <alignment horizontal="right"/>
    </xf>
    <xf numFmtId="165" fontId="12" fillId="0" borderId="1" xfId="334" applyNumberFormat="1" applyFont="1" applyBorder="1" applyAlignment="1">
      <alignment horizontal="right"/>
    </xf>
    <xf numFmtId="165" fontId="12" fillId="0" borderId="24" xfId="334" applyNumberFormat="1" applyFont="1" applyBorder="1" applyAlignment="1">
      <alignment horizontal="right"/>
    </xf>
    <xf numFmtId="165" fontId="12" fillId="0" borderId="1" xfId="334" applyNumberFormat="1" applyFont="1" applyFill="1" applyBorder="1" applyAlignment="1">
      <alignment horizontal="right"/>
    </xf>
    <xf numFmtId="165" fontId="12" fillId="45" borderId="6" xfId="334" applyNumberFormat="1" applyFont="1" applyFill="1" applyBorder="1" applyAlignment="1">
      <alignment horizontal="right"/>
    </xf>
    <xf numFmtId="165" fontId="12" fillId="0" borderId="0" xfId="334" applyNumberFormat="1" applyFont="1" applyBorder="1" applyAlignment="1">
      <alignment horizontal="right"/>
    </xf>
    <xf numFmtId="165" fontId="12" fillId="43" borderId="0" xfId="334" applyNumberFormat="1" applyFont="1" applyFill="1" applyBorder="1" applyAlignment="1">
      <alignment horizontal="right"/>
    </xf>
    <xf numFmtId="165" fontId="12" fillId="0" borderId="21" xfId="334" applyNumberFormat="1" applyFont="1" applyBorder="1" applyAlignment="1">
      <alignment horizontal="right"/>
    </xf>
    <xf numFmtId="165" fontId="12" fillId="44" borderId="0" xfId="334" applyNumberFormat="1" applyFont="1" applyFill="1" applyAlignment="1">
      <alignment horizontal="right"/>
    </xf>
    <xf numFmtId="165" fontId="12" fillId="0" borderId="16" xfId="334" applyNumberFormat="1" applyFont="1" applyFill="1" applyBorder="1" applyAlignment="1">
      <alignment horizontal="right"/>
    </xf>
    <xf numFmtId="0" fontId="0" fillId="46" borderId="0" xfId="0" applyFill="1"/>
    <xf numFmtId="165" fontId="12" fillId="46" borderId="1" xfId="334" applyNumberFormat="1" applyFont="1" applyFill="1" applyBorder="1" applyAlignment="1">
      <alignment horizontal="right"/>
    </xf>
    <xf numFmtId="165" fontId="12" fillId="0" borderId="0" xfId="334" applyNumberFormat="1" applyFont="1" applyFill="1" applyAlignment="1">
      <alignment horizontal="right"/>
    </xf>
    <xf numFmtId="44" fontId="0" fillId="0" borderId="0" xfId="334" applyFont="1"/>
    <xf numFmtId="165" fontId="0" fillId="0" borderId="0" xfId="0" applyNumberFormat="1"/>
    <xf numFmtId="0" fontId="80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81" fillId="47" borderId="25" xfId="0" applyFont="1" applyFill="1" applyBorder="1" applyAlignment="1">
      <alignment horizontal="left" vertical="top" wrapText="1"/>
    </xf>
    <xf numFmtId="0" fontId="81" fillId="47" borderId="25" xfId="0" applyFont="1" applyFill="1" applyBorder="1" applyAlignment="1">
      <alignment horizontal="right" vertical="top" wrapText="1"/>
    </xf>
    <xf numFmtId="0" fontId="81" fillId="47" borderId="25" xfId="0" applyFont="1" applyFill="1" applyBorder="1" applyAlignment="1">
      <alignment horizontal="right" vertical="top" wrapText="1" indent="1"/>
    </xf>
    <xf numFmtId="0" fontId="0" fillId="0" borderId="26" xfId="0" applyBorder="1" applyAlignment="1">
      <alignment horizontal="left" vertical="top" wrapText="1"/>
    </xf>
    <xf numFmtId="180" fontId="84" fillId="0" borderId="26" xfId="0" applyNumberFormat="1" applyFont="1" applyBorder="1" applyAlignment="1">
      <alignment horizontal="right" vertical="top" shrinkToFit="1"/>
    </xf>
    <xf numFmtId="1" fontId="84" fillId="0" borderId="26" xfId="0" applyNumberFormat="1" applyFont="1" applyBorder="1" applyAlignment="1">
      <alignment horizontal="right" vertical="top" indent="1" shrinkToFit="1"/>
    </xf>
    <xf numFmtId="0" fontId="0" fillId="48" borderId="26" xfId="0" applyFill="1" applyBorder="1" applyAlignment="1">
      <alignment horizontal="left" vertical="top" wrapText="1"/>
    </xf>
    <xf numFmtId="181" fontId="84" fillId="48" borderId="26" xfId="0" applyNumberFormat="1" applyFont="1" applyFill="1" applyBorder="1" applyAlignment="1">
      <alignment horizontal="right" vertical="top" shrinkToFit="1"/>
    </xf>
    <xf numFmtId="1" fontId="84" fillId="48" borderId="26" xfId="0" applyNumberFormat="1" applyFont="1" applyFill="1" applyBorder="1" applyAlignment="1">
      <alignment horizontal="right" vertical="top" indent="1" shrinkToFit="1"/>
    </xf>
    <xf numFmtId="180" fontId="84" fillId="48" borderId="26" xfId="0" applyNumberFormat="1" applyFont="1" applyFill="1" applyBorder="1" applyAlignment="1">
      <alignment horizontal="right" vertical="top" shrinkToFit="1"/>
    </xf>
    <xf numFmtId="1" fontId="84" fillId="0" borderId="26" xfId="0" applyNumberFormat="1" applyFont="1" applyBorder="1" applyAlignment="1">
      <alignment horizontal="right" vertical="top" indent="2" shrinkToFit="1"/>
    </xf>
    <xf numFmtId="1" fontId="84" fillId="48" borderId="26" xfId="0" applyNumberFormat="1" applyFont="1" applyFill="1" applyBorder="1" applyAlignment="1">
      <alignment horizontal="right" vertical="top" indent="2" shrinkToFit="1"/>
    </xf>
    <xf numFmtId="0" fontId="0" fillId="0" borderId="27" xfId="0" applyBorder="1" applyAlignment="1">
      <alignment horizontal="left" vertical="top" wrapText="1"/>
    </xf>
    <xf numFmtId="181" fontId="84" fillId="0" borderId="27" xfId="0" applyNumberFormat="1" applyFont="1" applyBorder="1" applyAlignment="1">
      <alignment horizontal="right" vertical="top" shrinkToFit="1"/>
    </xf>
    <xf numFmtId="1" fontId="84" fillId="0" borderId="27" xfId="0" applyNumberFormat="1" applyFont="1" applyBorder="1" applyAlignment="1">
      <alignment horizontal="right" vertical="top" indent="1" shrinkToFit="1"/>
    </xf>
    <xf numFmtId="180" fontId="84" fillId="0" borderId="27" xfId="0" applyNumberFormat="1" applyFont="1" applyBorder="1" applyAlignment="1">
      <alignment horizontal="right" vertical="top" shrinkToFit="1"/>
    </xf>
    <xf numFmtId="0" fontId="0" fillId="0" borderId="25" xfId="0" applyBorder="1" applyAlignment="1">
      <alignment horizontal="left" vertical="top" wrapText="1"/>
    </xf>
    <xf numFmtId="180" fontId="84" fillId="0" borderId="25" xfId="0" applyNumberFormat="1" applyFont="1" applyBorder="1" applyAlignment="1">
      <alignment horizontal="right" vertical="top" shrinkToFit="1"/>
    </xf>
    <xf numFmtId="1" fontId="84" fillId="0" borderId="25" xfId="0" applyNumberFormat="1" applyFont="1" applyBorder="1" applyAlignment="1">
      <alignment horizontal="right" vertical="top" indent="2" shrinkToFit="1"/>
    </xf>
    <xf numFmtId="180" fontId="0" fillId="0" borderId="0" xfId="0" applyNumberFormat="1" applyAlignment="1">
      <alignment horizontal="left" vertical="top"/>
    </xf>
    <xf numFmtId="0" fontId="55" fillId="0" borderId="0" xfId="0" applyFont="1" applyAlignment="1">
      <alignment horizontal="left" vertical="top"/>
    </xf>
    <xf numFmtId="165" fontId="79" fillId="0" borderId="17" xfId="0" applyNumberFormat="1" applyFont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top"/>
    </xf>
    <xf numFmtId="44" fontId="0" fillId="0" borderId="0" xfId="334" applyFont="1" applyAlignment="1">
      <alignment horizontal="left" vertical="top"/>
    </xf>
    <xf numFmtId="0" fontId="65" fillId="0" borderId="0" xfId="0" applyFont="1"/>
    <xf numFmtId="0" fontId="64" fillId="0" borderId="0" xfId="0" applyFont="1"/>
    <xf numFmtId="0" fontId="49" fillId="0" borderId="0" xfId="336" applyFill="1"/>
    <xf numFmtId="0" fontId="8" fillId="0" borderId="0" xfId="0" applyFont="1" applyAlignment="1">
      <alignment wrapText="1"/>
    </xf>
    <xf numFmtId="0" fontId="65" fillId="0" borderId="0" xfId="0" applyFont="1" applyAlignment="1">
      <alignment vertical="center"/>
    </xf>
    <xf numFmtId="0" fontId="49" fillId="0" borderId="0" xfId="336" applyFill="1" applyAlignment="1">
      <alignment horizontal="justify" vertical="center"/>
    </xf>
    <xf numFmtId="0" fontId="65" fillId="0" borderId="0" xfId="0" applyFont="1" applyAlignment="1">
      <alignment horizontal="justify" vertical="center"/>
    </xf>
    <xf numFmtId="0" fontId="66" fillId="0" borderId="0" xfId="0" applyFont="1" applyAlignment="1">
      <alignment horizontal="left"/>
    </xf>
    <xf numFmtId="0" fontId="66" fillId="0" borderId="0" xfId="0" applyFont="1" applyAlignment="1">
      <alignment vertical="center"/>
    </xf>
    <xf numFmtId="0" fontId="10" fillId="0" borderId="0" xfId="0" applyFont="1"/>
    <xf numFmtId="0" fontId="78" fillId="0" borderId="0" xfId="113" applyFont="1" applyAlignment="1">
      <alignment vertical="center"/>
    </xf>
    <xf numFmtId="0" fontId="15" fillId="0" borderId="0" xfId="113" applyFont="1" applyAlignment="1">
      <alignment horizontal="center" vertical="center"/>
    </xf>
    <xf numFmtId="0" fontId="11" fillId="0" borderId="0" xfId="113" applyFont="1" applyAlignment="1">
      <alignment horizontal="center" vertical="center" wrapText="1"/>
    </xf>
    <xf numFmtId="44" fontId="10" fillId="40" borderId="0" xfId="46" applyFont="1" applyFill="1" applyAlignment="1">
      <alignment vertical="center" wrapText="1"/>
    </xf>
    <xf numFmtId="44" fontId="10" fillId="40" borderId="0" xfId="46" applyFont="1" applyFill="1"/>
    <xf numFmtId="0" fontId="8" fillId="0" borderId="0" xfId="113" applyAlignment="1">
      <alignment vertical="center"/>
    </xf>
    <xf numFmtId="0" fontId="11" fillId="0" borderId="0" xfId="0" applyFont="1" applyAlignment="1">
      <alignment horizontal="center" vertical="center" textRotation="90" wrapText="1"/>
    </xf>
    <xf numFmtId="0" fontId="49" fillId="0" borderId="0" xfId="336"/>
    <xf numFmtId="0" fontId="55" fillId="0" borderId="0" xfId="335" applyAlignment="1">
      <alignment horizontal="center" vertical="top"/>
    </xf>
    <xf numFmtId="178" fontId="58" fillId="0" borderId="0" xfId="46" applyNumberFormat="1" applyFont="1" applyAlignment="1">
      <alignment horizontal="left" vertical="top"/>
    </xf>
    <xf numFmtId="178" fontId="58" fillId="0" borderId="0" xfId="46" applyNumberFormat="1" applyFont="1" applyFill="1" applyAlignment="1">
      <alignment horizontal="left" vertical="top"/>
    </xf>
    <xf numFmtId="0" fontId="55" fillId="0" borderId="1" xfId="335" applyBorder="1" applyAlignment="1">
      <alignment horizontal="left" vertical="top"/>
    </xf>
    <xf numFmtId="0" fontId="55" fillId="0" borderId="1" xfId="335" applyBorder="1" applyAlignment="1">
      <alignment horizontal="center" vertical="top"/>
    </xf>
    <xf numFmtId="178" fontId="58" fillId="0" borderId="1" xfId="46" applyNumberFormat="1" applyFont="1" applyFill="1" applyBorder="1" applyAlignment="1">
      <alignment horizontal="left" vertical="top"/>
    </xf>
    <xf numFmtId="44" fontId="62" fillId="0" borderId="1" xfId="46" applyFont="1" applyFill="1" applyBorder="1" applyAlignment="1">
      <alignment horizontal="left" vertical="top"/>
    </xf>
    <xf numFmtId="44" fontId="85" fillId="0" borderId="1" xfId="46" applyFont="1" applyFill="1" applyBorder="1" applyAlignment="1">
      <alignment horizontal="left" vertical="top"/>
    </xf>
    <xf numFmtId="0" fontId="8" fillId="0" borderId="1" xfId="335" applyFont="1" applyBorder="1" applyAlignment="1">
      <alignment vertical="top" wrapText="1"/>
    </xf>
    <xf numFmtId="0" fontId="59" fillId="0" borderId="1" xfId="335" applyFont="1" applyBorder="1" applyAlignment="1">
      <alignment horizontal="center" vertical="top"/>
    </xf>
    <xf numFmtId="44" fontId="62" fillId="0" borderId="1" xfId="46" applyFont="1" applyFill="1" applyBorder="1" applyAlignment="1">
      <alignment horizontal="center" vertical="top"/>
    </xf>
    <xf numFmtId="0" fontId="58" fillId="0" borderId="1" xfId="335" applyFont="1" applyBorder="1" applyAlignment="1">
      <alignment horizontal="center" vertical="top"/>
    </xf>
    <xf numFmtId="44" fontId="85" fillId="0" borderId="1" xfId="46" applyFont="1" applyFill="1" applyBorder="1" applyAlignment="1">
      <alignment horizontal="center" vertical="top"/>
    </xf>
    <xf numFmtId="0" fontId="58" fillId="0" borderId="1" xfId="335" applyFont="1" applyBorder="1" applyAlignment="1">
      <alignment horizontal="left" vertical="top"/>
    </xf>
    <xf numFmtId="44" fontId="62" fillId="0" borderId="1" xfId="46" applyFont="1" applyFill="1" applyBorder="1" applyAlignment="1">
      <alignment horizontal="center" vertical="top" shrinkToFit="1"/>
    </xf>
    <xf numFmtId="9" fontId="57" fillId="0" borderId="1" xfId="335" applyNumberFormat="1" applyFont="1" applyBorder="1" applyAlignment="1">
      <alignment vertical="top" wrapText="1"/>
    </xf>
    <xf numFmtId="0" fontId="59" fillId="0" borderId="1" xfId="335" applyFont="1" applyBorder="1" applyAlignment="1">
      <alignment horizontal="left" vertical="top"/>
    </xf>
    <xf numFmtId="22" fontId="8" fillId="0" borderId="0" xfId="113" applyNumberFormat="1"/>
    <xf numFmtId="0" fontId="8" fillId="0" borderId="1" xfId="113" applyBorder="1" applyAlignment="1">
      <alignment horizontal="center"/>
    </xf>
    <xf numFmtId="9" fontId="12" fillId="0" borderId="1" xfId="113" applyNumberFormat="1" applyFont="1" applyBorder="1"/>
    <xf numFmtId="0" fontId="8" fillId="0" borderId="0" xfId="113" applyAlignment="1">
      <alignment wrapText="1"/>
    </xf>
    <xf numFmtId="0" fontId="8" fillId="40" borderId="0" xfId="113" applyFill="1" applyAlignment="1">
      <alignment wrapText="1"/>
    </xf>
    <xf numFmtId="0" fontId="8" fillId="40" borderId="1" xfId="113" applyFill="1" applyBorder="1" applyAlignment="1">
      <alignment wrapText="1"/>
    </xf>
    <xf numFmtId="0" fontId="8" fillId="40" borderId="1" xfId="113" applyFill="1" applyBorder="1" applyAlignment="1">
      <alignment horizontal="center" wrapText="1"/>
    </xf>
    <xf numFmtId="0" fontId="12" fillId="40" borderId="1" xfId="113" applyFont="1" applyFill="1" applyBorder="1" applyAlignment="1">
      <alignment horizontal="center" wrapText="1"/>
    </xf>
    <xf numFmtId="0" fontId="1" fillId="0" borderId="0" xfId="49" applyFont="1"/>
    <xf numFmtId="0" fontId="7" fillId="0" borderId="0" xfId="49" applyAlignment="1">
      <alignment horizontal="center"/>
    </xf>
    <xf numFmtId="182" fontId="7" fillId="0" borderId="0" xfId="49" applyNumberFormat="1"/>
    <xf numFmtId="39" fontId="1" fillId="0" borderId="0" xfId="46" applyNumberFormat="1" applyFont="1" applyAlignment="1">
      <alignment horizontal="center"/>
    </xf>
    <xf numFmtId="44" fontId="1" fillId="0" borderId="0" xfId="46" applyFont="1" applyAlignment="1">
      <alignment horizontal="center"/>
    </xf>
    <xf numFmtId="44" fontId="7" fillId="0" borderId="0" xfId="334" applyFont="1" applyAlignment="1">
      <alignment horizontal="center"/>
    </xf>
    <xf numFmtId="0" fontId="11" fillId="0" borderId="0" xfId="0" applyFont="1" applyAlignment="1">
      <alignment horizontal="center" vertical="center" textRotation="90" wrapText="1"/>
    </xf>
    <xf numFmtId="0" fontId="83" fillId="49" borderId="18" xfId="0" applyFont="1" applyFill="1" applyBorder="1" applyAlignment="1">
      <alignment horizontal="left" vertical="top" wrapText="1"/>
    </xf>
    <xf numFmtId="0" fontId="83" fillId="49" borderId="20" xfId="0" applyFont="1" applyFill="1" applyBorder="1" applyAlignment="1">
      <alignment horizontal="left" vertical="top" wrapText="1"/>
    </xf>
    <xf numFmtId="0" fontId="83" fillId="49" borderId="19" xfId="0" applyFont="1" applyFill="1" applyBorder="1" applyAlignment="1">
      <alignment horizontal="left" vertical="top" wrapText="1"/>
    </xf>
    <xf numFmtId="0" fontId="70" fillId="42" borderId="0" xfId="113" applyFont="1" applyFill="1" applyAlignment="1">
      <alignment horizontal="center" vertical="center"/>
    </xf>
    <xf numFmtId="0" fontId="70" fillId="42" borderId="21" xfId="113" applyFont="1" applyFill="1" applyBorder="1" applyAlignment="1">
      <alignment horizontal="center" vertical="center"/>
    </xf>
    <xf numFmtId="0" fontId="12" fillId="42" borderId="22" xfId="113" applyFont="1" applyFill="1" applyBorder="1" applyAlignment="1">
      <alignment horizontal="center"/>
    </xf>
    <xf numFmtId="0" fontId="12" fillId="42" borderId="16" xfId="113" applyFont="1" applyFill="1" applyBorder="1" applyAlignment="1">
      <alignment horizontal="center"/>
    </xf>
    <xf numFmtId="0" fontId="12" fillId="42" borderId="23" xfId="113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3" fillId="40" borderId="24" xfId="0" applyFont="1" applyFill="1" applyBorder="1" applyAlignment="1">
      <alignment horizontal="center" vertical="center"/>
    </xf>
    <xf numFmtId="0" fontId="13" fillId="40" borderId="6" xfId="0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15" fillId="40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42" borderId="0" xfId="113" applyFont="1" applyFill="1" applyAlignment="1">
      <alignment horizontal="center" vertical="center"/>
    </xf>
    <xf numFmtId="0" fontId="8" fillId="0" borderId="0" xfId="0" applyFont="1" applyAlignment="1" applyProtection="1">
      <alignment horizontal="center" wrapText="1"/>
      <protection locked="0"/>
    </xf>
    <xf numFmtId="44" fontId="12" fillId="40" borderId="0" xfId="46" applyFont="1" applyFill="1" applyAlignment="1">
      <alignment horizontal="center" vertical="center"/>
    </xf>
    <xf numFmtId="44" fontId="8" fillId="0" borderId="0" xfId="46" applyAlignment="1">
      <alignment horizontal="center"/>
    </xf>
    <xf numFmtId="0" fontId="60" fillId="0" borderId="0" xfId="113" applyFont="1" applyAlignment="1">
      <alignment horizontal="center" vertical="center" wrapText="1"/>
    </xf>
    <xf numFmtId="0" fontId="8" fillId="0" borderId="0" xfId="113" applyAlignment="1">
      <alignment horizontal="center"/>
    </xf>
    <xf numFmtId="44" fontId="69" fillId="0" borderId="0" xfId="0" applyNumberFormat="1" applyFont="1" applyAlignment="1">
      <alignment vertical="center"/>
    </xf>
    <xf numFmtId="9" fontId="69" fillId="0" borderId="0" xfId="0" applyNumberFormat="1" applyFont="1" applyAlignment="1">
      <alignment horizontal="center" vertical="center"/>
    </xf>
    <xf numFmtId="44" fontId="69" fillId="0" borderId="0" xfId="0" applyNumberFormat="1" applyFont="1" applyAlignment="1">
      <alignment horizontal="center" vertical="center"/>
    </xf>
    <xf numFmtId="49" fontId="69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4" fontId="69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337">
    <cellStyle name="20% - Accent1" xfId="70" builtinId="30" customBuiltin="1"/>
    <cellStyle name="20% - Accent1 2" xfId="122" xr:uid="{00000000-0005-0000-0000-000001000000}"/>
    <cellStyle name="20% - Accent1 3" xfId="139" xr:uid="{00000000-0005-0000-0000-000002000000}"/>
    <cellStyle name="20% - Accent2" xfId="74" builtinId="34" customBuiltin="1"/>
    <cellStyle name="20% - Accent2 2" xfId="124" xr:uid="{00000000-0005-0000-0000-000004000000}"/>
    <cellStyle name="20% - Accent2 3" xfId="140" xr:uid="{00000000-0005-0000-0000-000005000000}"/>
    <cellStyle name="20% - Accent3" xfId="78" builtinId="38" customBuiltin="1"/>
    <cellStyle name="20% - Accent3 2" xfId="126" xr:uid="{00000000-0005-0000-0000-000007000000}"/>
    <cellStyle name="20% - Accent3 3" xfId="141" xr:uid="{00000000-0005-0000-0000-000008000000}"/>
    <cellStyle name="20% - Accent4" xfId="82" builtinId="42" customBuiltin="1"/>
    <cellStyle name="20% - Accent4 2" xfId="128" xr:uid="{00000000-0005-0000-0000-00000A000000}"/>
    <cellStyle name="20% - Accent4 3" xfId="142" xr:uid="{00000000-0005-0000-0000-00000B000000}"/>
    <cellStyle name="20% - Accent5" xfId="86" builtinId="46" customBuiltin="1"/>
    <cellStyle name="20% - Accent5 2" xfId="130" xr:uid="{00000000-0005-0000-0000-00000D000000}"/>
    <cellStyle name="20% - Accent5 3" xfId="143" xr:uid="{00000000-0005-0000-0000-00000E000000}"/>
    <cellStyle name="20% - Accent6" xfId="90" builtinId="50" customBuiltin="1"/>
    <cellStyle name="20% - Accent6 2" xfId="132" xr:uid="{00000000-0005-0000-0000-000010000000}"/>
    <cellStyle name="20% - Accent6 3" xfId="144" xr:uid="{00000000-0005-0000-0000-000011000000}"/>
    <cellStyle name="40% - Accent1" xfId="71" builtinId="31" customBuiltin="1"/>
    <cellStyle name="40% - Accent1 2" xfId="123" xr:uid="{00000000-0005-0000-0000-000013000000}"/>
    <cellStyle name="40% - Accent1 3" xfId="145" xr:uid="{00000000-0005-0000-0000-000014000000}"/>
    <cellStyle name="40% - Accent2" xfId="75" builtinId="35" customBuiltin="1"/>
    <cellStyle name="40% - Accent2 2" xfId="125" xr:uid="{00000000-0005-0000-0000-000016000000}"/>
    <cellStyle name="40% - Accent2 3" xfId="146" xr:uid="{00000000-0005-0000-0000-000017000000}"/>
    <cellStyle name="40% - Accent3" xfId="79" builtinId="39" customBuiltin="1"/>
    <cellStyle name="40% - Accent3 2" xfId="127" xr:uid="{00000000-0005-0000-0000-000019000000}"/>
    <cellStyle name="40% - Accent3 3" xfId="147" xr:uid="{00000000-0005-0000-0000-00001A000000}"/>
    <cellStyle name="40% - Accent4" xfId="83" builtinId="43" customBuiltin="1"/>
    <cellStyle name="40% - Accent4 2" xfId="129" xr:uid="{00000000-0005-0000-0000-00001C000000}"/>
    <cellStyle name="40% - Accent4 3" xfId="148" xr:uid="{00000000-0005-0000-0000-00001D000000}"/>
    <cellStyle name="40% - Accent5" xfId="87" builtinId="47" customBuiltin="1"/>
    <cellStyle name="40% - Accent5 2" xfId="131" xr:uid="{00000000-0005-0000-0000-00001F000000}"/>
    <cellStyle name="40% - Accent5 3" xfId="149" xr:uid="{00000000-0005-0000-0000-000020000000}"/>
    <cellStyle name="40% - Accent6" xfId="91" builtinId="51" customBuiltin="1"/>
    <cellStyle name="40% - Accent6 2" xfId="133" xr:uid="{00000000-0005-0000-0000-000022000000}"/>
    <cellStyle name="40% - Accent6 3" xfId="150" xr:uid="{00000000-0005-0000-0000-000023000000}"/>
    <cellStyle name="60% - Accent1" xfId="72" builtinId="32" customBuiltin="1"/>
    <cellStyle name="60% - Accent2" xfId="76" builtinId="36" customBuiltin="1"/>
    <cellStyle name="60% - Accent3" xfId="80" builtinId="40" customBuiltin="1"/>
    <cellStyle name="60% - Accent4" xfId="84" builtinId="44" customBuiltin="1"/>
    <cellStyle name="60% - Accent5" xfId="88" builtinId="48" customBuiltin="1"/>
    <cellStyle name="60% - Accent6" xfId="92" builtinId="52" customBuiltin="1"/>
    <cellStyle name="Accent1" xfId="69" builtinId="29" customBuiltin="1"/>
    <cellStyle name="Accent2" xfId="73" builtinId="33" customBuiltin="1"/>
    <cellStyle name="Accent3" xfId="77" builtinId="37" customBuiltin="1"/>
    <cellStyle name="Accent4" xfId="81" builtinId="41" customBuiltin="1"/>
    <cellStyle name="Accent5" xfId="85" builtinId="45" customBuiltin="1"/>
    <cellStyle name="Accent6" xfId="89" builtinId="49" customBuiltin="1"/>
    <cellStyle name="args.style" xfId="1" xr:uid="{00000000-0005-0000-0000-000030000000}"/>
    <cellStyle name="args.style 2" xfId="151" xr:uid="{00000000-0005-0000-0000-000031000000}"/>
    <cellStyle name="AutoFormat Options" xfId="2" xr:uid="{00000000-0005-0000-0000-000032000000}"/>
    <cellStyle name="AutoFormat Options 2" xfId="95" xr:uid="{00000000-0005-0000-0000-000033000000}"/>
    <cellStyle name="Bad" xfId="59" builtinId="27" customBuiltin="1"/>
    <cellStyle name="Border" xfId="3" xr:uid="{00000000-0005-0000-0000-000035000000}"/>
    <cellStyle name="Calc Currency (0)" xfId="4" xr:uid="{00000000-0005-0000-0000-000036000000}"/>
    <cellStyle name="Calc Currency (0) 2" xfId="152" xr:uid="{00000000-0005-0000-0000-000037000000}"/>
    <cellStyle name="Calc Currency (0) 3" xfId="96" xr:uid="{00000000-0005-0000-0000-000038000000}"/>
    <cellStyle name="Calculation" xfId="63" builtinId="22" customBuiltin="1"/>
    <cellStyle name="Check Cell" xfId="65" builtinId="23" customBuiltin="1"/>
    <cellStyle name="Comma 2" xfId="153" xr:uid="{00000000-0005-0000-0000-00003B000000}"/>
    <cellStyle name="Comma 3" xfId="119" xr:uid="{00000000-0005-0000-0000-00003C000000}"/>
    <cellStyle name="Copied" xfId="5" xr:uid="{00000000-0005-0000-0000-00003D000000}"/>
    <cellStyle name="Copied 2" xfId="154" xr:uid="{00000000-0005-0000-0000-00003E000000}"/>
    <cellStyle name="COST1" xfId="6" xr:uid="{00000000-0005-0000-0000-00003F000000}"/>
    <cellStyle name="COST1 2" xfId="155" xr:uid="{00000000-0005-0000-0000-000040000000}"/>
    <cellStyle name="Currency" xfId="334" builtinId="4"/>
    <cellStyle name="Currency 2" xfId="46" xr:uid="{00000000-0005-0000-0000-000042000000}"/>
    <cellStyle name="Currency 3" xfId="48" xr:uid="{00000000-0005-0000-0000-000043000000}"/>
    <cellStyle name="Currency 3 2" xfId="156" xr:uid="{00000000-0005-0000-0000-000044000000}"/>
    <cellStyle name="Currency 3 3" xfId="101" xr:uid="{00000000-0005-0000-0000-000045000000}"/>
    <cellStyle name="Currency 4" xfId="135" xr:uid="{00000000-0005-0000-0000-000046000000}"/>
    <cellStyle name="Dezimal [0]_Compiling Utility Macros" xfId="7" xr:uid="{00000000-0005-0000-0000-000047000000}"/>
    <cellStyle name="Dezimal_Compiling Utility Macros" xfId="8" xr:uid="{00000000-0005-0000-0000-000048000000}"/>
    <cellStyle name="Entered" xfId="9" xr:uid="{00000000-0005-0000-0000-000049000000}"/>
    <cellStyle name="Entered 2" xfId="157" xr:uid="{00000000-0005-0000-0000-00004A000000}"/>
    <cellStyle name="Explanatory Text" xfId="67" builtinId="53" customBuiltin="1"/>
    <cellStyle name="Good" xfId="58" builtinId="26" customBuiltin="1"/>
    <cellStyle name="Grey" xfId="10" xr:uid="{00000000-0005-0000-0000-00004D000000}"/>
    <cellStyle name="Header1" xfId="11" xr:uid="{00000000-0005-0000-0000-00004E000000}"/>
    <cellStyle name="Header1 2" xfId="158" xr:uid="{00000000-0005-0000-0000-00004F000000}"/>
    <cellStyle name="Header2" xfId="12" xr:uid="{00000000-0005-0000-0000-000050000000}"/>
    <cellStyle name="Header2 2" xfId="159" xr:uid="{00000000-0005-0000-0000-000051000000}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HEADINGS" xfId="13" xr:uid="{00000000-0005-0000-0000-000056000000}"/>
    <cellStyle name="HEADINGS 2" xfId="160" xr:uid="{00000000-0005-0000-0000-000057000000}"/>
    <cellStyle name="HEADINGSTOP" xfId="14" xr:uid="{00000000-0005-0000-0000-000058000000}"/>
    <cellStyle name="HEADINGSTOP 2" xfId="161" xr:uid="{00000000-0005-0000-0000-000059000000}"/>
    <cellStyle name="Hyperlink" xfId="336" builtinId="8"/>
    <cellStyle name="Hyperlink 2" xfId="162" xr:uid="{00000000-0005-0000-0000-00005B000000}"/>
    <cellStyle name="Input" xfId="61" builtinId="20" customBuiltin="1"/>
    <cellStyle name="Input [yellow]" xfId="15" xr:uid="{00000000-0005-0000-0000-00005D000000}"/>
    <cellStyle name="Input Cells" xfId="16" xr:uid="{00000000-0005-0000-0000-00005E000000}"/>
    <cellStyle name="Jun" xfId="17" xr:uid="{00000000-0005-0000-0000-00005F000000}"/>
    <cellStyle name="Jun 2" xfId="163" xr:uid="{00000000-0005-0000-0000-000060000000}"/>
    <cellStyle name="Jun 3" xfId="97" xr:uid="{00000000-0005-0000-0000-000061000000}"/>
    <cellStyle name="Linked Cell" xfId="64" builtinId="24" customBuiltin="1"/>
    <cellStyle name="Linked Cells" xfId="18" xr:uid="{00000000-0005-0000-0000-000063000000}"/>
    <cellStyle name="Milliers [0]_!!!GO" xfId="19" xr:uid="{00000000-0005-0000-0000-000064000000}"/>
    <cellStyle name="Milliers_!!!GO" xfId="20" xr:uid="{00000000-0005-0000-0000-000065000000}"/>
    <cellStyle name="Monétaire [0]_!!!GO" xfId="21" xr:uid="{00000000-0005-0000-0000-000066000000}"/>
    <cellStyle name="Monétaire_!!!GO" xfId="22" xr:uid="{00000000-0005-0000-0000-000067000000}"/>
    <cellStyle name="Neutral" xfId="60" builtinId="28" customBuiltin="1"/>
    <cellStyle name="Normal" xfId="0" builtinId="0"/>
    <cellStyle name="Normal - Style1" xfId="23" xr:uid="{00000000-0005-0000-0000-00006A000000}"/>
    <cellStyle name="Normal 10" xfId="113" xr:uid="{00000000-0005-0000-0000-00006B000000}"/>
    <cellStyle name="Normal 10 2" xfId="164" xr:uid="{00000000-0005-0000-0000-00006C000000}"/>
    <cellStyle name="Normal 100" xfId="165" xr:uid="{00000000-0005-0000-0000-00006D000000}"/>
    <cellStyle name="Normal 101" xfId="166" xr:uid="{00000000-0005-0000-0000-00006E000000}"/>
    <cellStyle name="Normal 102" xfId="167" xr:uid="{00000000-0005-0000-0000-00006F000000}"/>
    <cellStyle name="Normal 103" xfId="168" xr:uid="{00000000-0005-0000-0000-000070000000}"/>
    <cellStyle name="Normal 104" xfId="169" xr:uid="{00000000-0005-0000-0000-000071000000}"/>
    <cellStyle name="Normal 105" xfId="170" xr:uid="{00000000-0005-0000-0000-000072000000}"/>
    <cellStyle name="Normal 106" xfId="171" xr:uid="{00000000-0005-0000-0000-000073000000}"/>
    <cellStyle name="Normal 107" xfId="172" xr:uid="{00000000-0005-0000-0000-000074000000}"/>
    <cellStyle name="Normal 108" xfId="173" xr:uid="{00000000-0005-0000-0000-000075000000}"/>
    <cellStyle name="Normal 109" xfId="174" xr:uid="{00000000-0005-0000-0000-000076000000}"/>
    <cellStyle name="Normal 11" xfId="114" xr:uid="{00000000-0005-0000-0000-000077000000}"/>
    <cellStyle name="Normal 11 2" xfId="136" xr:uid="{00000000-0005-0000-0000-000078000000}"/>
    <cellStyle name="Normal 11 3" xfId="175" xr:uid="{00000000-0005-0000-0000-000079000000}"/>
    <cellStyle name="Normal 110" xfId="176" xr:uid="{00000000-0005-0000-0000-00007A000000}"/>
    <cellStyle name="Normal 111" xfId="177" xr:uid="{00000000-0005-0000-0000-00007B000000}"/>
    <cellStyle name="Normal 112" xfId="178" xr:uid="{00000000-0005-0000-0000-00007C000000}"/>
    <cellStyle name="Normal 113" xfId="179" xr:uid="{00000000-0005-0000-0000-00007D000000}"/>
    <cellStyle name="Normal 114" xfId="180" xr:uid="{00000000-0005-0000-0000-00007E000000}"/>
    <cellStyle name="Normal 115" xfId="181" xr:uid="{00000000-0005-0000-0000-00007F000000}"/>
    <cellStyle name="Normal 116" xfId="182" xr:uid="{00000000-0005-0000-0000-000080000000}"/>
    <cellStyle name="Normal 117" xfId="183" xr:uid="{00000000-0005-0000-0000-000081000000}"/>
    <cellStyle name="Normal 118" xfId="184" xr:uid="{00000000-0005-0000-0000-000082000000}"/>
    <cellStyle name="Normal 119" xfId="185" xr:uid="{00000000-0005-0000-0000-000083000000}"/>
    <cellStyle name="Normal 12" xfId="117" xr:uid="{00000000-0005-0000-0000-000084000000}"/>
    <cellStyle name="Normal 120" xfId="186" xr:uid="{00000000-0005-0000-0000-000085000000}"/>
    <cellStyle name="Normal 121" xfId="187" xr:uid="{00000000-0005-0000-0000-000086000000}"/>
    <cellStyle name="Normal 122" xfId="188" xr:uid="{00000000-0005-0000-0000-000087000000}"/>
    <cellStyle name="Normal 123" xfId="189" xr:uid="{00000000-0005-0000-0000-000088000000}"/>
    <cellStyle name="Normal 124" xfId="190" xr:uid="{00000000-0005-0000-0000-000089000000}"/>
    <cellStyle name="Normal 125" xfId="191" xr:uid="{00000000-0005-0000-0000-00008A000000}"/>
    <cellStyle name="Normal 126" xfId="192" xr:uid="{00000000-0005-0000-0000-00008B000000}"/>
    <cellStyle name="Normal 127" xfId="193" xr:uid="{00000000-0005-0000-0000-00008C000000}"/>
    <cellStyle name="Normal 128" xfId="194" xr:uid="{00000000-0005-0000-0000-00008D000000}"/>
    <cellStyle name="Normal 129" xfId="195" xr:uid="{00000000-0005-0000-0000-00008E000000}"/>
    <cellStyle name="Normal 13" xfId="116" xr:uid="{00000000-0005-0000-0000-00008F000000}"/>
    <cellStyle name="Normal 130" xfId="196" xr:uid="{00000000-0005-0000-0000-000090000000}"/>
    <cellStyle name="Normal 131" xfId="197" xr:uid="{00000000-0005-0000-0000-000091000000}"/>
    <cellStyle name="Normal 132" xfId="198" xr:uid="{00000000-0005-0000-0000-000092000000}"/>
    <cellStyle name="Normal 133" xfId="199" xr:uid="{00000000-0005-0000-0000-000093000000}"/>
    <cellStyle name="Normal 134" xfId="200" xr:uid="{00000000-0005-0000-0000-000094000000}"/>
    <cellStyle name="Normal 135" xfId="201" xr:uid="{00000000-0005-0000-0000-000095000000}"/>
    <cellStyle name="Normal 136" xfId="202" xr:uid="{00000000-0005-0000-0000-000096000000}"/>
    <cellStyle name="Normal 137" xfId="203" xr:uid="{00000000-0005-0000-0000-000097000000}"/>
    <cellStyle name="Normal 138" xfId="204" xr:uid="{00000000-0005-0000-0000-000098000000}"/>
    <cellStyle name="Normal 139" xfId="205" xr:uid="{00000000-0005-0000-0000-000099000000}"/>
    <cellStyle name="Normal 14" xfId="115" xr:uid="{00000000-0005-0000-0000-00009A000000}"/>
    <cellStyle name="Normal 140" xfId="206" xr:uid="{00000000-0005-0000-0000-00009B000000}"/>
    <cellStyle name="Normal 141" xfId="207" xr:uid="{00000000-0005-0000-0000-00009C000000}"/>
    <cellStyle name="Normal 142" xfId="208" xr:uid="{00000000-0005-0000-0000-00009D000000}"/>
    <cellStyle name="Normal 143" xfId="209" xr:uid="{00000000-0005-0000-0000-00009E000000}"/>
    <cellStyle name="Normal 144" xfId="210" xr:uid="{00000000-0005-0000-0000-00009F000000}"/>
    <cellStyle name="Normal 145" xfId="211" xr:uid="{00000000-0005-0000-0000-0000A0000000}"/>
    <cellStyle name="Normal 146" xfId="93" xr:uid="{00000000-0005-0000-0000-0000A1000000}"/>
    <cellStyle name="Normal 147" xfId="107" xr:uid="{00000000-0005-0000-0000-0000A2000000}"/>
    <cellStyle name="Normal 148" xfId="110" xr:uid="{00000000-0005-0000-0000-0000A3000000}"/>
    <cellStyle name="Normal 149" xfId="109" xr:uid="{00000000-0005-0000-0000-0000A4000000}"/>
    <cellStyle name="Normal 15" xfId="120" xr:uid="{00000000-0005-0000-0000-0000A5000000}"/>
    <cellStyle name="Normal 15 2" xfId="138" xr:uid="{00000000-0005-0000-0000-0000A6000000}"/>
    <cellStyle name="Normal 150" xfId="331" xr:uid="{00000000-0005-0000-0000-0000A7000000}"/>
    <cellStyle name="Normal 151" xfId="319" xr:uid="{00000000-0005-0000-0000-0000A8000000}"/>
    <cellStyle name="Normal 152" xfId="317" xr:uid="{00000000-0005-0000-0000-0000A9000000}"/>
    <cellStyle name="Normal 153" xfId="327" xr:uid="{00000000-0005-0000-0000-0000AA000000}"/>
    <cellStyle name="Normal 154" xfId="320" xr:uid="{00000000-0005-0000-0000-0000AB000000}"/>
    <cellStyle name="Normal 155" xfId="325" xr:uid="{00000000-0005-0000-0000-0000AC000000}"/>
    <cellStyle name="Normal 156" xfId="321" xr:uid="{00000000-0005-0000-0000-0000AD000000}"/>
    <cellStyle name="Normal 157" xfId="324" xr:uid="{00000000-0005-0000-0000-0000AE000000}"/>
    <cellStyle name="Normal 158" xfId="322" xr:uid="{00000000-0005-0000-0000-0000AF000000}"/>
    <cellStyle name="Normal 159" xfId="323" xr:uid="{00000000-0005-0000-0000-0000B0000000}"/>
    <cellStyle name="Normal 16" xfId="212" xr:uid="{00000000-0005-0000-0000-0000B1000000}"/>
    <cellStyle name="Normal 160" xfId="335" xr:uid="{00000000-0005-0000-0000-0000B2000000}"/>
    <cellStyle name="Normal 17" xfId="213" xr:uid="{00000000-0005-0000-0000-0000B3000000}"/>
    <cellStyle name="Normal 18" xfId="214" xr:uid="{00000000-0005-0000-0000-0000B4000000}"/>
    <cellStyle name="Normal 19" xfId="215" xr:uid="{00000000-0005-0000-0000-0000B5000000}"/>
    <cellStyle name="Normal 2" xfId="24" xr:uid="{00000000-0005-0000-0000-0000B6000000}"/>
    <cellStyle name="Normal 2 2" xfId="25" xr:uid="{00000000-0005-0000-0000-0000B7000000}"/>
    <cellStyle name="Normal 2 2 2" xfId="216" xr:uid="{00000000-0005-0000-0000-0000B8000000}"/>
    <cellStyle name="Normal 2 2 3" xfId="98" xr:uid="{00000000-0005-0000-0000-0000B9000000}"/>
    <cellStyle name="Normal 2 3" xfId="47" xr:uid="{00000000-0005-0000-0000-0000BA000000}"/>
    <cellStyle name="Normal 2 3 2" xfId="137" xr:uid="{00000000-0005-0000-0000-0000BB000000}"/>
    <cellStyle name="Normal 2 4" xfId="217" xr:uid="{00000000-0005-0000-0000-0000BC000000}"/>
    <cellStyle name="Normal 20" xfId="218" xr:uid="{00000000-0005-0000-0000-0000BD000000}"/>
    <cellStyle name="Normal 21" xfId="219" xr:uid="{00000000-0005-0000-0000-0000BE000000}"/>
    <cellStyle name="Normal 22" xfId="220" xr:uid="{00000000-0005-0000-0000-0000BF000000}"/>
    <cellStyle name="Normal 23" xfId="221" xr:uid="{00000000-0005-0000-0000-0000C0000000}"/>
    <cellStyle name="Normal 24" xfId="222" xr:uid="{00000000-0005-0000-0000-0000C1000000}"/>
    <cellStyle name="Normal 25" xfId="223" xr:uid="{00000000-0005-0000-0000-0000C2000000}"/>
    <cellStyle name="Normal 26" xfId="224" xr:uid="{00000000-0005-0000-0000-0000C3000000}"/>
    <cellStyle name="Normal 27" xfId="225" xr:uid="{00000000-0005-0000-0000-0000C4000000}"/>
    <cellStyle name="Normal 28" xfId="226" xr:uid="{00000000-0005-0000-0000-0000C5000000}"/>
    <cellStyle name="Normal 29" xfId="227" xr:uid="{00000000-0005-0000-0000-0000C6000000}"/>
    <cellStyle name="Normal 3" xfId="26" xr:uid="{00000000-0005-0000-0000-0000C7000000}"/>
    <cellStyle name="Normal 3 2" xfId="50" xr:uid="{00000000-0005-0000-0000-0000C8000000}"/>
    <cellStyle name="Normal 3 2 2" xfId="228" xr:uid="{00000000-0005-0000-0000-0000C9000000}"/>
    <cellStyle name="Normal 3 3" xfId="229" xr:uid="{00000000-0005-0000-0000-0000CA000000}"/>
    <cellStyle name="Normal 30" xfId="230" xr:uid="{00000000-0005-0000-0000-0000CB000000}"/>
    <cellStyle name="Normal 31" xfId="231" xr:uid="{00000000-0005-0000-0000-0000CC000000}"/>
    <cellStyle name="Normal 32" xfId="232" xr:uid="{00000000-0005-0000-0000-0000CD000000}"/>
    <cellStyle name="Normal 33" xfId="233" xr:uid="{00000000-0005-0000-0000-0000CE000000}"/>
    <cellStyle name="Normal 34" xfId="234" xr:uid="{00000000-0005-0000-0000-0000CF000000}"/>
    <cellStyle name="Normal 35" xfId="235" xr:uid="{00000000-0005-0000-0000-0000D0000000}"/>
    <cellStyle name="Normal 36" xfId="236" xr:uid="{00000000-0005-0000-0000-0000D1000000}"/>
    <cellStyle name="Normal 37" xfId="237" xr:uid="{00000000-0005-0000-0000-0000D2000000}"/>
    <cellStyle name="Normal 38" xfId="238" xr:uid="{00000000-0005-0000-0000-0000D3000000}"/>
    <cellStyle name="Normal 39" xfId="239" xr:uid="{00000000-0005-0000-0000-0000D4000000}"/>
    <cellStyle name="Normal 4" xfId="43" xr:uid="{00000000-0005-0000-0000-0000D5000000}"/>
    <cellStyle name="Normal 4 2" xfId="240" xr:uid="{00000000-0005-0000-0000-0000D6000000}"/>
    <cellStyle name="Normal 40" xfId="241" xr:uid="{00000000-0005-0000-0000-0000D7000000}"/>
    <cellStyle name="Normal 41" xfId="242" xr:uid="{00000000-0005-0000-0000-0000D8000000}"/>
    <cellStyle name="Normal 42" xfId="243" xr:uid="{00000000-0005-0000-0000-0000D9000000}"/>
    <cellStyle name="Normal 43" xfId="244" xr:uid="{00000000-0005-0000-0000-0000DA000000}"/>
    <cellStyle name="Normal 44" xfId="245" xr:uid="{00000000-0005-0000-0000-0000DB000000}"/>
    <cellStyle name="Normal 45" xfId="246" xr:uid="{00000000-0005-0000-0000-0000DC000000}"/>
    <cellStyle name="Normal 46" xfId="247" xr:uid="{00000000-0005-0000-0000-0000DD000000}"/>
    <cellStyle name="Normal 47" xfId="248" xr:uid="{00000000-0005-0000-0000-0000DE000000}"/>
    <cellStyle name="Normal 48" xfId="249" xr:uid="{00000000-0005-0000-0000-0000DF000000}"/>
    <cellStyle name="Normal 49" xfId="250" xr:uid="{00000000-0005-0000-0000-0000E0000000}"/>
    <cellStyle name="Normal 5" xfId="44" xr:uid="{00000000-0005-0000-0000-0000E1000000}"/>
    <cellStyle name="Normal 5 2" xfId="251" xr:uid="{00000000-0005-0000-0000-0000E2000000}"/>
    <cellStyle name="Normal 50" xfId="252" xr:uid="{00000000-0005-0000-0000-0000E3000000}"/>
    <cellStyle name="Normal 51" xfId="253" xr:uid="{00000000-0005-0000-0000-0000E4000000}"/>
    <cellStyle name="Normal 52" xfId="254" xr:uid="{00000000-0005-0000-0000-0000E5000000}"/>
    <cellStyle name="Normal 53" xfId="255" xr:uid="{00000000-0005-0000-0000-0000E6000000}"/>
    <cellStyle name="Normal 54" xfId="256" xr:uid="{00000000-0005-0000-0000-0000E7000000}"/>
    <cellStyle name="Normal 55" xfId="257" xr:uid="{00000000-0005-0000-0000-0000E8000000}"/>
    <cellStyle name="Normal 56" xfId="258" xr:uid="{00000000-0005-0000-0000-0000E9000000}"/>
    <cellStyle name="Normal 57" xfId="259" xr:uid="{00000000-0005-0000-0000-0000EA000000}"/>
    <cellStyle name="Normal 58" xfId="260" xr:uid="{00000000-0005-0000-0000-0000EB000000}"/>
    <cellStyle name="Normal 59" xfId="261" xr:uid="{00000000-0005-0000-0000-0000EC000000}"/>
    <cellStyle name="Normal 6" xfId="45" xr:uid="{00000000-0005-0000-0000-0000ED000000}"/>
    <cellStyle name="Normal 6 2" xfId="262" xr:uid="{00000000-0005-0000-0000-0000EE000000}"/>
    <cellStyle name="Normal 60" xfId="263" xr:uid="{00000000-0005-0000-0000-0000EF000000}"/>
    <cellStyle name="Normal 61" xfId="264" xr:uid="{00000000-0005-0000-0000-0000F0000000}"/>
    <cellStyle name="Normal 62" xfId="265" xr:uid="{00000000-0005-0000-0000-0000F1000000}"/>
    <cellStyle name="Normal 63" xfId="266" xr:uid="{00000000-0005-0000-0000-0000F2000000}"/>
    <cellStyle name="Normal 64" xfId="267" xr:uid="{00000000-0005-0000-0000-0000F3000000}"/>
    <cellStyle name="Normal 65" xfId="268" xr:uid="{00000000-0005-0000-0000-0000F4000000}"/>
    <cellStyle name="Normal 66" xfId="269" xr:uid="{00000000-0005-0000-0000-0000F5000000}"/>
    <cellStyle name="Normal 67" xfId="270" xr:uid="{00000000-0005-0000-0000-0000F6000000}"/>
    <cellStyle name="Normal 68" xfId="271" xr:uid="{00000000-0005-0000-0000-0000F7000000}"/>
    <cellStyle name="Normal 69" xfId="272" xr:uid="{00000000-0005-0000-0000-0000F8000000}"/>
    <cellStyle name="Normal 7" xfId="49" xr:uid="{00000000-0005-0000-0000-0000F9000000}"/>
    <cellStyle name="Normal 7 2" xfId="273" xr:uid="{00000000-0005-0000-0000-0000FA000000}"/>
    <cellStyle name="Normal 7 3" xfId="102" xr:uid="{00000000-0005-0000-0000-0000FB000000}"/>
    <cellStyle name="Normal 70" xfId="274" xr:uid="{00000000-0005-0000-0000-0000FC000000}"/>
    <cellStyle name="Normal 71" xfId="275" xr:uid="{00000000-0005-0000-0000-0000FD000000}"/>
    <cellStyle name="Normal 72" xfId="276" xr:uid="{00000000-0005-0000-0000-0000FE000000}"/>
    <cellStyle name="Normal 73" xfId="277" xr:uid="{00000000-0005-0000-0000-0000FF000000}"/>
    <cellStyle name="Normal 74" xfId="278" xr:uid="{00000000-0005-0000-0000-000000010000}"/>
    <cellStyle name="Normal 75" xfId="279" xr:uid="{00000000-0005-0000-0000-000001010000}"/>
    <cellStyle name="Normal 76" xfId="280" xr:uid="{00000000-0005-0000-0000-000002010000}"/>
    <cellStyle name="Normal 77" xfId="281" xr:uid="{00000000-0005-0000-0000-000003010000}"/>
    <cellStyle name="Normal 78" xfId="282" xr:uid="{00000000-0005-0000-0000-000004010000}"/>
    <cellStyle name="Normal 79" xfId="283" xr:uid="{00000000-0005-0000-0000-000005010000}"/>
    <cellStyle name="Normal 8" xfId="51" xr:uid="{00000000-0005-0000-0000-000006010000}"/>
    <cellStyle name="Normal 8 2" xfId="284" xr:uid="{00000000-0005-0000-0000-000007010000}"/>
    <cellStyle name="Normal 8 3" xfId="103" xr:uid="{00000000-0005-0000-0000-000008010000}"/>
    <cellStyle name="Normal 80" xfId="285" xr:uid="{00000000-0005-0000-0000-000009010000}"/>
    <cellStyle name="Normal 81" xfId="286" xr:uid="{00000000-0005-0000-0000-00000A010000}"/>
    <cellStyle name="Normal 82" xfId="287" xr:uid="{00000000-0005-0000-0000-00000B010000}"/>
    <cellStyle name="Normal 83" xfId="288" xr:uid="{00000000-0005-0000-0000-00000C010000}"/>
    <cellStyle name="Normal 84" xfId="289" xr:uid="{00000000-0005-0000-0000-00000D010000}"/>
    <cellStyle name="Normal 85" xfId="290" xr:uid="{00000000-0005-0000-0000-00000E010000}"/>
    <cellStyle name="Normal 86" xfId="291" xr:uid="{00000000-0005-0000-0000-00000F010000}"/>
    <cellStyle name="Normal 87" xfId="292" xr:uid="{00000000-0005-0000-0000-000010010000}"/>
    <cellStyle name="Normal 88" xfId="293" xr:uid="{00000000-0005-0000-0000-000011010000}"/>
    <cellStyle name="Normal 89" xfId="294" xr:uid="{00000000-0005-0000-0000-000012010000}"/>
    <cellStyle name="Normal 9" xfId="52" xr:uid="{00000000-0005-0000-0000-000013010000}"/>
    <cellStyle name="Normal 9 2" xfId="53" xr:uid="{00000000-0005-0000-0000-000014010000}"/>
    <cellStyle name="Normal 9 2 2" xfId="295" xr:uid="{00000000-0005-0000-0000-000015010000}"/>
    <cellStyle name="Normal 9 2 3" xfId="333" xr:uid="{00000000-0005-0000-0000-000016010000}"/>
    <cellStyle name="Normal 9 3" xfId="104" xr:uid="{00000000-0005-0000-0000-000017010000}"/>
    <cellStyle name="Normal 90" xfId="296" xr:uid="{00000000-0005-0000-0000-000018010000}"/>
    <cellStyle name="Normal 91" xfId="297" xr:uid="{00000000-0005-0000-0000-000019010000}"/>
    <cellStyle name="Normal 92" xfId="298" xr:uid="{00000000-0005-0000-0000-00001A010000}"/>
    <cellStyle name="Normal 93" xfId="299" xr:uid="{00000000-0005-0000-0000-00001B010000}"/>
    <cellStyle name="Normal 94" xfId="300" xr:uid="{00000000-0005-0000-0000-00001C010000}"/>
    <cellStyle name="Normal 95" xfId="301" xr:uid="{00000000-0005-0000-0000-00001D010000}"/>
    <cellStyle name="Normal 96" xfId="302" xr:uid="{00000000-0005-0000-0000-00001E010000}"/>
    <cellStyle name="Normal 97" xfId="303" xr:uid="{00000000-0005-0000-0000-00001F010000}"/>
    <cellStyle name="Normal 98" xfId="304" xr:uid="{00000000-0005-0000-0000-000020010000}"/>
    <cellStyle name="Normal 99" xfId="305" xr:uid="{00000000-0005-0000-0000-000021010000}"/>
    <cellStyle name="Note 2" xfId="118" xr:uid="{00000000-0005-0000-0000-000022010000}"/>
    <cellStyle name="Note 3" xfId="121" xr:uid="{00000000-0005-0000-0000-000023010000}"/>
    <cellStyle name="Note 4" xfId="306" xr:uid="{00000000-0005-0000-0000-000024010000}"/>
    <cellStyle name="Œ…‹æØ‚è [0.00]_Region Orders (2)" xfId="27" xr:uid="{00000000-0005-0000-0000-000025010000}"/>
    <cellStyle name="Œ…‹æØ‚è_Region Orders (2)" xfId="28" xr:uid="{00000000-0005-0000-0000-000026010000}"/>
    <cellStyle name="Output" xfId="62" builtinId="21" customBuiltin="1"/>
    <cellStyle name="per.style" xfId="29" xr:uid="{00000000-0005-0000-0000-000028010000}"/>
    <cellStyle name="Percent [2]" xfId="30" xr:uid="{00000000-0005-0000-0000-000029010000}"/>
    <cellStyle name="Percent [2] 2" xfId="307" xr:uid="{00000000-0005-0000-0000-00002A010000}"/>
    <cellStyle name="Percent [2] 3" xfId="99" xr:uid="{00000000-0005-0000-0000-00002B010000}"/>
    <cellStyle name="Percent 10" xfId="318" xr:uid="{00000000-0005-0000-0000-00002C010000}"/>
    <cellStyle name="Percent 11" xfId="326" xr:uid="{00000000-0005-0000-0000-00002D010000}"/>
    <cellStyle name="Percent 12" xfId="112" xr:uid="{00000000-0005-0000-0000-00002E010000}"/>
    <cellStyle name="Percent 13" xfId="329" xr:uid="{00000000-0005-0000-0000-00002F010000}"/>
    <cellStyle name="Percent 14" xfId="315" xr:uid="{00000000-0005-0000-0000-000030010000}"/>
    <cellStyle name="Percent 15" xfId="328" xr:uid="{00000000-0005-0000-0000-000031010000}"/>
    <cellStyle name="Percent 16" xfId="100" xr:uid="{00000000-0005-0000-0000-000032010000}"/>
    <cellStyle name="Percent 17" xfId="111" xr:uid="{00000000-0005-0000-0000-000033010000}"/>
    <cellStyle name="Percent 18" xfId="330" xr:uid="{00000000-0005-0000-0000-000034010000}"/>
    <cellStyle name="Percent 19" xfId="316" xr:uid="{00000000-0005-0000-0000-000035010000}"/>
    <cellStyle name="Percent 2" xfId="134" xr:uid="{00000000-0005-0000-0000-000036010000}"/>
    <cellStyle name="Percent 3" xfId="308" xr:uid="{00000000-0005-0000-0000-000037010000}"/>
    <cellStyle name="Percent 4" xfId="309" xr:uid="{00000000-0005-0000-0000-000038010000}"/>
    <cellStyle name="Percent 5" xfId="310" xr:uid="{00000000-0005-0000-0000-000039010000}"/>
    <cellStyle name="Percent 6" xfId="94" xr:uid="{00000000-0005-0000-0000-00003A010000}"/>
    <cellStyle name="Percent 7" xfId="108" xr:uid="{00000000-0005-0000-0000-00003B010000}"/>
    <cellStyle name="Percent 8" xfId="106" xr:uid="{00000000-0005-0000-0000-00003C010000}"/>
    <cellStyle name="Percent 9" xfId="332" xr:uid="{00000000-0005-0000-0000-00003D010000}"/>
    <cellStyle name="pricing" xfId="31" xr:uid="{00000000-0005-0000-0000-00003E010000}"/>
    <cellStyle name="PSChar" xfId="32" xr:uid="{00000000-0005-0000-0000-00003F010000}"/>
    <cellStyle name="PSChar 2" xfId="311" xr:uid="{00000000-0005-0000-0000-000040010000}"/>
    <cellStyle name="regstoresfromspecstores" xfId="33" xr:uid="{00000000-0005-0000-0000-000041010000}"/>
    <cellStyle name="regstoresfromspecstores 2" xfId="312" xr:uid="{00000000-0005-0000-0000-000042010000}"/>
    <cellStyle name="RevList" xfId="34" xr:uid="{00000000-0005-0000-0000-000043010000}"/>
    <cellStyle name="SHADEDSTORES" xfId="35" xr:uid="{00000000-0005-0000-0000-000044010000}"/>
    <cellStyle name="SHADEDSTORES 2" xfId="313" xr:uid="{00000000-0005-0000-0000-000045010000}"/>
    <cellStyle name="specstores" xfId="36" xr:uid="{00000000-0005-0000-0000-000046010000}"/>
    <cellStyle name="specstores 2" xfId="314" xr:uid="{00000000-0005-0000-0000-000047010000}"/>
    <cellStyle name="Standard_Anpassen der Amortisation" xfId="37" xr:uid="{00000000-0005-0000-0000-000048010000}"/>
    <cellStyle name="Subtotal" xfId="38" xr:uid="{00000000-0005-0000-0000-000049010000}"/>
    <cellStyle name="SubTotal1Num" xfId="39" xr:uid="{00000000-0005-0000-0000-00004A010000}"/>
    <cellStyle name="SubTotal1Text" xfId="40" xr:uid="{00000000-0005-0000-0000-00004B010000}"/>
    <cellStyle name="Title 2" xfId="105" xr:uid="{00000000-0005-0000-0000-00004C010000}"/>
    <cellStyle name="Total" xfId="68" builtinId="25" customBuiltin="1"/>
    <cellStyle name="Währung [0]_Compiling Utility Macros" xfId="41" xr:uid="{00000000-0005-0000-0000-00004E010000}"/>
    <cellStyle name="Währung_Compiling Utility Macros" xfId="42" xr:uid="{00000000-0005-0000-0000-00004F010000}"/>
    <cellStyle name="Warning Text" xfId="6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47625</xdr:rowOff>
    </xdr:from>
    <xdr:to>
      <xdr:col>14</xdr:col>
      <xdr:colOff>368300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1BED1B-C086-4DE3-A394-A29E0BCA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20725"/>
          <a:ext cx="8648700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12</xdr:col>
      <xdr:colOff>152400</xdr:colOff>
      <xdr:row>36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715F47-5E3F-4BFA-BBE7-34C81966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"/>
          <a:ext cx="8953500" cy="461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146050</xdr:rowOff>
    </xdr:from>
    <xdr:to>
      <xdr:col>14</xdr:col>
      <xdr:colOff>257377</xdr:colOff>
      <xdr:row>11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4B743A-74B9-B827-869F-B0ED1E23B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9756977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ld/Documents/DJDINC/DJD%20CD%202010-13/Springfield%20IL/E-Rate%202015/Copy%20of%20Springfield%202015%20(2)%20w-isbe%20data%20djd%2002-25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ld/Documents/DJDINC/DJD%20CD%202010-13/Jennings%20SD/E-Rate%202015/ERate%20Binder/1%20USAC%20Forms%20and%20Certifications/JSD%20CAT2%20WRLS%20UPLOAD%20TEMPLATE%2002-20-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2015"/>
      <sheetName val="Log"/>
      <sheetName val="470 Summary"/>
      <sheetName val="Vendor Response Log"/>
      <sheetName val="Bidding Matrix"/>
      <sheetName val="Calendar"/>
      <sheetName val="FY2015 Info Schools"/>
      <sheetName val="Entity List &amp; Discounts"/>
      <sheetName val="Call One"/>
      <sheetName val="Verizon Wireless"/>
      <sheetName val="Office of Public Utilities"/>
      <sheetName val="ICN"/>
      <sheetName val="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SPRINGFIELD SCHOOL DIST 186</v>
          </cell>
        </row>
        <row r="4">
          <cell r="H4" t="str">
            <v>Individual School</v>
          </cell>
        </row>
        <row r="5">
          <cell r="H5" t="str">
            <v>School District</v>
          </cell>
        </row>
        <row r="6">
          <cell r="H6" t="str">
            <v>Library</v>
          </cell>
        </row>
        <row r="7">
          <cell r="H7" t="str">
            <v>Consortium</v>
          </cell>
        </row>
        <row r="8">
          <cell r="H8" t="str">
            <v>State - all public schools</v>
          </cell>
        </row>
        <row r="9">
          <cell r="H9" t="str">
            <v>State - all non-public schools</v>
          </cell>
        </row>
        <row r="10">
          <cell r="H10" t="str">
            <v>State - Libraries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21b"/>
      <sheetName val="Dropdown"/>
      <sheetName val="Type of Connection and Product"/>
      <sheetName val="Mak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 xml:space="preserve">3Com </v>
          </cell>
        </row>
        <row r="3">
          <cell r="A3" t="str">
            <v>Adtran</v>
          </cell>
        </row>
        <row r="4">
          <cell r="A4" t="str">
            <v>Alcatel-Lucent</v>
          </cell>
        </row>
        <row r="5">
          <cell r="A5" t="str">
            <v>Allied Telesis</v>
          </cell>
        </row>
        <row r="6">
          <cell r="A6" t="str">
            <v>American Power Conversion</v>
          </cell>
        </row>
        <row r="7">
          <cell r="A7" t="str">
            <v>Apple</v>
          </cell>
        </row>
        <row r="8">
          <cell r="A8" t="str">
            <v>Aruba</v>
          </cell>
        </row>
        <row r="9">
          <cell r="A9" t="str">
            <v>Asante Technologies</v>
          </cell>
        </row>
        <row r="10">
          <cell r="A10" t="str">
            <v>Avaya</v>
          </cell>
        </row>
        <row r="11">
          <cell r="A11" t="str">
            <v>Barracuda</v>
          </cell>
        </row>
        <row r="12">
          <cell r="A12" t="str">
            <v>Brocade</v>
          </cell>
        </row>
        <row r="13">
          <cell r="A13" t="str">
            <v>Checkpoint</v>
          </cell>
        </row>
        <row r="14">
          <cell r="A14" t="str">
            <v>Cisco Systems</v>
          </cell>
        </row>
        <row r="15">
          <cell r="A15" t="str">
            <v>Compaq</v>
          </cell>
        </row>
        <row r="16">
          <cell r="A16" t="str">
            <v>Dell</v>
          </cell>
        </row>
        <row r="17">
          <cell r="A17" t="str">
            <v>D-Link</v>
          </cell>
        </row>
        <row r="18">
          <cell r="A18" t="str">
            <v>Extreme Networks</v>
          </cell>
        </row>
        <row r="19">
          <cell r="A19" t="str">
            <v>Fortinet</v>
          </cell>
        </row>
        <row r="20">
          <cell r="A20" t="str">
            <v>Foundry Networks</v>
          </cell>
        </row>
        <row r="21">
          <cell r="A21" t="str">
            <v>Hewlett Packard</v>
          </cell>
        </row>
        <row r="22">
          <cell r="A22" t="str">
            <v>IBM</v>
          </cell>
        </row>
        <row r="23">
          <cell r="A23" t="str">
            <v>Intel</v>
          </cell>
        </row>
        <row r="24">
          <cell r="A24" t="str">
            <v>Juniper Networks</v>
          </cell>
        </row>
        <row r="25">
          <cell r="A25" t="str">
            <v>Linksys</v>
          </cell>
        </row>
        <row r="26">
          <cell r="A26" t="str">
            <v>Meraki</v>
          </cell>
        </row>
        <row r="27">
          <cell r="A27" t="str">
            <v>NEC</v>
          </cell>
        </row>
        <row r="28">
          <cell r="A28" t="str">
            <v>Netgear</v>
          </cell>
        </row>
        <row r="29">
          <cell r="A29" t="str">
            <v>Panduit</v>
          </cell>
        </row>
        <row r="30">
          <cell r="A30" t="str">
            <v>Proxim</v>
          </cell>
        </row>
        <row r="31">
          <cell r="A31" t="str">
            <v>Seagate</v>
          </cell>
        </row>
        <row r="32">
          <cell r="A32" t="str">
            <v>SMC Networks</v>
          </cell>
        </row>
        <row r="33">
          <cell r="A33" t="str">
            <v>SonicWALL</v>
          </cell>
        </row>
        <row r="34">
          <cell r="A34" t="str">
            <v>Sun Microsystems</v>
          </cell>
        </row>
        <row r="35">
          <cell r="A35" t="str">
            <v>Tripplite</v>
          </cell>
        </row>
        <row r="36">
          <cell r="A36" t="str">
            <v>Watch Guard Technologies</v>
          </cell>
        </row>
        <row r="37">
          <cell r="A37" t="str">
            <v>Waters Network Systems</v>
          </cell>
        </row>
        <row r="38">
          <cell r="A38" t="str">
            <v>Western Digital</v>
          </cell>
        </row>
        <row r="39">
          <cell r="A39" t="str">
            <v>Xirrus</v>
          </cell>
        </row>
        <row r="40">
          <cell r="A40" t="str">
            <v>ZyXEL</v>
          </cell>
        </row>
        <row r="41">
          <cell r="A41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uben.santos@usac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zoomScaleNormal="100" workbookViewId="0">
      <selection activeCell="P3" sqref="P3"/>
    </sheetView>
  </sheetViews>
  <sheetFormatPr defaultColWidth="15.81640625" defaultRowHeight="12.5"/>
  <cols>
    <col min="1" max="1" width="4.453125" style="1" customWidth="1"/>
    <col min="2" max="2" width="3.54296875" style="1" customWidth="1"/>
    <col min="3" max="3" width="6.81640625" style="3" customWidth="1"/>
    <col min="4" max="4" width="13.54296875" customWidth="1"/>
    <col min="5" max="6" width="10.54296875" style="2" hidden="1" customWidth="1"/>
    <col min="7" max="8" width="10.54296875" style="2" customWidth="1"/>
    <col min="9" max="9" width="9.81640625" style="1" customWidth="1"/>
    <col min="10" max="10" width="9" customWidth="1"/>
    <col min="11" max="11" width="12.54296875" style="11" customWidth="1"/>
    <col min="12" max="12" width="5.54296875" style="1" customWidth="1"/>
    <col min="13" max="14" width="12.54296875" style="12" customWidth="1"/>
    <col min="15" max="15" width="12.54296875" style="12" hidden="1" customWidth="1"/>
    <col min="16" max="16" width="12.54296875" style="12" customWidth="1"/>
    <col min="17" max="17" width="34.81640625" style="4" customWidth="1"/>
    <col min="18" max="18" width="2" style="5" customWidth="1"/>
    <col min="19" max="19" width="7.453125" style="18" customWidth="1"/>
    <col min="20" max="20" width="8.81640625" style="18" customWidth="1"/>
    <col min="21" max="22" width="11.81640625" customWidth="1"/>
    <col min="23" max="24" width="6.81640625" style="6" customWidth="1"/>
    <col min="25" max="25" width="8.54296875" style="6" customWidth="1"/>
    <col min="26" max="26" width="8" style="8" customWidth="1"/>
    <col min="27" max="27" width="17.1796875" style="8" customWidth="1"/>
    <col min="28" max="28" width="9.54296875" style="8" customWidth="1"/>
    <col min="29" max="29" width="8" style="8" customWidth="1"/>
    <col min="30" max="31" width="9.81640625" style="7" customWidth="1"/>
  </cols>
  <sheetData>
    <row r="1" spans="1:32" s="37" customFormat="1" ht="61.5" customHeight="1">
      <c r="A1" s="20" t="s">
        <v>2</v>
      </c>
      <c r="B1" s="20"/>
      <c r="C1" s="27" t="s">
        <v>3</v>
      </c>
      <c r="D1" s="27" t="s">
        <v>1</v>
      </c>
      <c r="E1" s="27" t="s">
        <v>238</v>
      </c>
      <c r="F1" s="27" t="s">
        <v>240</v>
      </c>
      <c r="G1" s="27" t="s">
        <v>270</v>
      </c>
      <c r="H1" s="27" t="s">
        <v>299</v>
      </c>
      <c r="I1" s="27" t="s">
        <v>14</v>
      </c>
      <c r="J1" s="27" t="s">
        <v>0</v>
      </c>
      <c r="K1" s="28" t="s">
        <v>15</v>
      </c>
      <c r="L1" s="29" t="s">
        <v>4</v>
      </c>
      <c r="M1" s="30" t="s">
        <v>77</v>
      </c>
      <c r="N1" s="30" t="s">
        <v>78</v>
      </c>
      <c r="O1" s="30" t="s">
        <v>269</v>
      </c>
      <c r="P1" s="30" t="s">
        <v>448</v>
      </c>
      <c r="Q1" s="27" t="s">
        <v>161</v>
      </c>
      <c r="R1" s="31"/>
      <c r="S1" s="32" t="s">
        <v>20</v>
      </c>
      <c r="T1" s="32" t="s">
        <v>21</v>
      </c>
      <c r="U1" s="33" t="s">
        <v>22</v>
      </c>
      <c r="V1" s="33" t="s">
        <v>23</v>
      </c>
      <c r="W1" s="20">
        <v>470</v>
      </c>
      <c r="X1" s="20" t="s">
        <v>180</v>
      </c>
      <c r="Y1" s="27" t="s">
        <v>5</v>
      </c>
      <c r="Z1" s="34" t="s">
        <v>6</v>
      </c>
      <c r="AA1" s="34" t="s">
        <v>7</v>
      </c>
      <c r="AB1" s="34" t="s">
        <v>11</v>
      </c>
      <c r="AC1" s="34" t="s">
        <v>12</v>
      </c>
      <c r="AD1" s="35" t="s">
        <v>8</v>
      </c>
      <c r="AE1" s="35" t="s">
        <v>9</v>
      </c>
      <c r="AF1" s="36" t="s">
        <v>16</v>
      </c>
    </row>
    <row r="2" spans="1:32" s="9" customFormat="1" ht="50" customHeight="1">
      <c r="A2" s="18">
        <v>1.1000000000000001</v>
      </c>
      <c r="B2" s="313" t="s">
        <v>444</v>
      </c>
      <c r="C2" s="177" t="s">
        <v>18</v>
      </c>
      <c r="D2" s="13" t="s">
        <v>19</v>
      </c>
      <c r="E2" s="18">
        <v>2299015975</v>
      </c>
      <c r="F2" s="18">
        <v>2399000739</v>
      </c>
      <c r="G2" s="18">
        <v>2499004569</v>
      </c>
      <c r="H2" s="341"/>
      <c r="I2" s="338" t="s">
        <v>25</v>
      </c>
      <c r="J2" s="338">
        <v>143036797</v>
      </c>
      <c r="K2" s="334">
        <f>+U2*12</f>
        <v>13636.560000000001</v>
      </c>
      <c r="L2" s="335">
        <v>0.6</v>
      </c>
      <c r="M2" s="334">
        <f>+K2*L2</f>
        <v>8181.9360000000006</v>
      </c>
      <c r="N2" s="336">
        <f>+K2-M2</f>
        <v>5454.6240000000007</v>
      </c>
      <c r="O2" s="92"/>
      <c r="P2" s="92" t="s">
        <v>271</v>
      </c>
      <c r="Q2" s="13" t="s">
        <v>237</v>
      </c>
      <c r="R2" s="5"/>
      <c r="S2" s="174">
        <v>1</v>
      </c>
      <c r="T2" s="175">
        <f>+U2/S2</f>
        <v>1136.3800000000001</v>
      </c>
      <c r="U2" s="176">
        <v>1136.3800000000001</v>
      </c>
      <c r="V2" s="176">
        <v>0</v>
      </c>
      <c r="W2" s="13" t="s">
        <v>10</v>
      </c>
      <c r="X2" s="13" t="s">
        <v>13</v>
      </c>
      <c r="Y2" s="14" t="s">
        <v>17</v>
      </c>
      <c r="Z2" s="337" t="s">
        <v>242</v>
      </c>
      <c r="AA2" s="338">
        <v>230004739</v>
      </c>
      <c r="AB2" s="339">
        <v>44911</v>
      </c>
      <c r="AC2" s="337" t="s">
        <v>243</v>
      </c>
      <c r="AD2" s="339">
        <v>44916</v>
      </c>
      <c r="AE2" s="339">
        <v>46203</v>
      </c>
      <c r="AF2" s="17"/>
    </row>
    <row r="3" spans="1:32" s="9" customFormat="1" ht="50" customHeight="1">
      <c r="A3" s="18">
        <v>1.2</v>
      </c>
      <c r="B3" s="313"/>
      <c r="C3" s="177" t="s">
        <v>18</v>
      </c>
      <c r="D3" s="13" t="s">
        <v>114</v>
      </c>
      <c r="E3" s="18">
        <v>2299015978</v>
      </c>
      <c r="F3" s="18">
        <v>2399000746</v>
      </c>
      <c r="G3" s="18">
        <v>2499004574</v>
      </c>
      <c r="H3" s="341"/>
      <c r="I3" s="338" t="s">
        <v>25</v>
      </c>
      <c r="J3" s="338">
        <v>143036797</v>
      </c>
      <c r="K3" s="334">
        <f>+V3+12*U3</f>
        <v>9000</v>
      </c>
      <c r="L3" s="335">
        <v>0.6</v>
      </c>
      <c r="M3" s="334">
        <f>+K3*L3</f>
        <v>5400</v>
      </c>
      <c r="N3" s="336">
        <f>+K3-M3</f>
        <v>3600</v>
      </c>
      <c r="O3" s="92"/>
      <c r="P3" s="92" t="s">
        <v>162</v>
      </c>
      <c r="Q3" s="13" t="s">
        <v>39</v>
      </c>
      <c r="R3" s="5"/>
      <c r="S3" s="174">
        <v>1</v>
      </c>
      <c r="T3" s="175">
        <f>+U3/S3</f>
        <v>750</v>
      </c>
      <c r="U3" s="176">
        <v>750</v>
      </c>
      <c r="V3" s="110">
        <v>0</v>
      </c>
      <c r="W3" s="13" t="s">
        <v>10</v>
      </c>
      <c r="X3" s="13" t="s">
        <v>13</v>
      </c>
      <c r="Y3" s="14" t="s">
        <v>17</v>
      </c>
      <c r="Z3" s="337" t="s">
        <v>112</v>
      </c>
      <c r="AA3" s="340">
        <v>190001867</v>
      </c>
      <c r="AB3" s="339">
        <v>43482</v>
      </c>
      <c r="AC3" s="337" t="s">
        <v>115</v>
      </c>
      <c r="AD3" s="339">
        <v>43493</v>
      </c>
      <c r="AE3" s="339">
        <v>46780</v>
      </c>
      <c r="AF3" s="147"/>
    </row>
    <row r="4" spans="1:32" s="9" customFormat="1" ht="50" customHeight="1">
      <c r="A4" s="18">
        <v>1.3</v>
      </c>
      <c r="B4" s="280" t="s">
        <v>444</v>
      </c>
      <c r="C4" s="177" t="s">
        <v>277</v>
      </c>
      <c r="D4" s="13" t="s">
        <v>277</v>
      </c>
      <c r="E4" s="18">
        <v>2299015978</v>
      </c>
      <c r="F4" s="18" t="s">
        <v>39</v>
      </c>
      <c r="G4" s="18">
        <v>2499035866</v>
      </c>
      <c r="H4" s="341"/>
      <c r="I4" s="338" t="s">
        <v>280</v>
      </c>
      <c r="J4" s="338">
        <v>143034849</v>
      </c>
      <c r="K4" s="334">
        <v>15999.199999999999</v>
      </c>
      <c r="L4" s="335">
        <v>0.6</v>
      </c>
      <c r="M4" s="334">
        <f>+K4*L4</f>
        <v>9599.5199999999986</v>
      </c>
      <c r="N4" s="336">
        <f>+K4-M4</f>
        <v>6399.68</v>
      </c>
      <c r="O4" s="92" t="s">
        <v>57</v>
      </c>
      <c r="P4" s="92" t="s">
        <v>289</v>
      </c>
      <c r="Q4" s="92" t="s">
        <v>443</v>
      </c>
      <c r="R4" s="5"/>
      <c r="S4" s="174">
        <v>28</v>
      </c>
      <c r="T4" s="175">
        <f>+U4/S4</f>
        <v>0</v>
      </c>
      <c r="U4" s="176">
        <v>0</v>
      </c>
      <c r="V4" s="110">
        <v>0</v>
      </c>
      <c r="W4" s="13" t="s">
        <v>10</v>
      </c>
      <c r="X4" s="13" t="s">
        <v>10</v>
      </c>
      <c r="Y4" s="14" t="s">
        <v>17</v>
      </c>
      <c r="Z4" s="337" t="s">
        <v>278</v>
      </c>
      <c r="AA4" s="340">
        <v>240014021</v>
      </c>
      <c r="AB4" s="339">
        <v>45345</v>
      </c>
      <c r="AC4" s="337" t="s">
        <v>281</v>
      </c>
      <c r="AD4" s="339">
        <v>45370</v>
      </c>
      <c r="AE4" s="339">
        <v>45838</v>
      </c>
      <c r="AF4" s="147"/>
    </row>
    <row r="5" spans="1:32" s="9" customFormat="1" ht="50" customHeight="1">
      <c r="A5" s="18"/>
      <c r="B5" s="280" t="s">
        <v>444</v>
      </c>
      <c r="C5" s="177" t="s">
        <v>445</v>
      </c>
      <c r="D5" s="13" t="s">
        <v>445</v>
      </c>
      <c r="E5" s="18"/>
      <c r="F5" s="18"/>
      <c r="G5" s="18" t="s">
        <v>39</v>
      </c>
      <c r="H5" s="341"/>
      <c r="I5" s="18"/>
      <c r="J5" s="18"/>
      <c r="K5" s="334">
        <v>0</v>
      </c>
      <c r="L5" s="335">
        <v>0.6</v>
      </c>
      <c r="M5" s="334">
        <v>0</v>
      </c>
      <c r="N5" s="336">
        <v>0</v>
      </c>
      <c r="O5" s="92"/>
      <c r="P5" s="92"/>
      <c r="Q5" s="92" t="s">
        <v>446</v>
      </c>
      <c r="R5" s="5"/>
      <c r="S5" s="174"/>
      <c r="T5" s="175"/>
      <c r="U5" s="176"/>
      <c r="V5" s="110"/>
      <c r="W5" s="13" t="s">
        <v>10</v>
      </c>
      <c r="X5" s="13" t="s">
        <v>10</v>
      </c>
      <c r="Y5" s="14" t="s">
        <v>17</v>
      </c>
      <c r="Z5" s="15" t="s">
        <v>447</v>
      </c>
      <c r="AA5" s="26"/>
      <c r="AB5" s="16"/>
      <c r="AC5" s="15"/>
      <c r="AD5" s="16"/>
      <c r="AE5" s="16"/>
      <c r="AF5" s="147"/>
    </row>
    <row r="6" spans="1:32" s="10" customFormat="1" ht="22.5" customHeight="1">
      <c r="A6" s="19"/>
      <c r="B6" s="19"/>
      <c r="C6" s="21"/>
      <c r="D6" s="22" t="s">
        <v>75</v>
      </c>
      <c r="E6" s="19"/>
      <c r="F6" s="19"/>
      <c r="G6" s="19"/>
      <c r="H6" s="19"/>
      <c r="I6" s="19"/>
      <c r="J6" s="23"/>
      <c r="K6" s="24">
        <f>SUM(K2:K4)</f>
        <v>38635.760000000002</v>
      </c>
      <c r="L6" s="38"/>
      <c r="M6" s="24">
        <f>SUM(M2:M4)</f>
        <v>23181.455999999998</v>
      </c>
      <c r="N6" s="24">
        <f>SUM(N2:N4)</f>
        <v>15454.304</v>
      </c>
      <c r="O6" s="24"/>
      <c r="P6" s="24"/>
      <c r="Q6" s="22"/>
      <c r="R6" s="25"/>
      <c r="S6" s="43"/>
      <c r="T6" s="44"/>
      <c r="U6" s="45"/>
      <c r="V6" s="45"/>
      <c r="W6" s="46"/>
      <c r="X6" s="46"/>
      <c r="Y6" s="47"/>
      <c r="Z6" s="48"/>
      <c r="AA6" s="49"/>
      <c r="AB6" s="50"/>
      <c r="AC6" s="48"/>
      <c r="AD6" s="50"/>
      <c r="AE6" s="50"/>
      <c r="AF6" s="17"/>
    </row>
    <row r="7" spans="1:32" s="10" customFormat="1" ht="22.5" customHeight="1">
      <c r="A7" s="19"/>
      <c r="B7" s="20"/>
      <c r="C7" s="21"/>
      <c r="D7" s="22" t="s">
        <v>76</v>
      </c>
      <c r="E7" s="19"/>
      <c r="F7" s="19"/>
      <c r="G7" s="19"/>
      <c r="H7" s="19"/>
      <c r="I7" s="19"/>
      <c r="J7" s="23"/>
      <c r="K7" s="24">
        <v>0</v>
      </c>
      <c r="L7" s="38"/>
      <c r="M7" s="24">
        <v>0</v>
      </c>
      <c r="N7" s="24">
        <v>0</v>
      </c>
      <c r="O7" s="24"/>
      <c r="P7" s="24"/>
      <c r="Q7" s="22" t="s">
        <v>279</v>
      </c>
      <c r="R7" s="25"/>
      <c r="S7" s="43"/>
      <c r="T7" s="44"/>
      <c r="U7" s="45"/>
      <c r="V7" s="45"/>
      <c r="W7" s="46"/>
      <c r="X7" s="46"/>
      <c r="Y7" s="47"/>
      <c r="Z7" s="48"/>
      <c r="AA7" s="49"/>
      <c r="AB7" s="50"/>
      <c r="AC7" s="48"/>
      <c r="AD7" s="50"/>
      <c r="AE7" s="50"/>
      <c r="AF7" s="17"/>
    </row>
    <row r="8" spans="1:32" s="10" customFormat="1" ht="22.5" customHeight="1">
      <c r="A8" s="19"/>
      <c r="B8" s="20"/>
      <c r="C8" s="21"/>
      <c r="D8" s="22" t="s">
        <v>235</v>
      </c>
      <c r="E8" s="19"/>
      <c r="F8" s="19"/>
      <c r="G8" s="19"/>
      <c r="H8" s="19"/>
      <c r="I8" s="19"/>
      <c r="J8" s="23"/>
      <c r="K8" s="24">
        <f>+K6+K7</f>
        <v>38635.760000000002</v>
      </c>
      <c r="L8" s="38"/>
      <c r="M8" s="24">
        <f>+M6+M7</f>
        <v>23181.455999999998</v>
      </c>
      <c r="N8" s="24">
        <f>+N6+N7</f>
        <v>15454.304</v>
      </c>
      <c r="O8" s="24"/>
      <c r="P8" s="24"/>
      <c r="Q8" s="22"/>
      <c r="R8" s="25"/>
      <c r="S8" s="43"/>
      <c r="T8" s="44"/>
      <c r="U8" s="45"/>
      <c r="V8" s="45"/>
      <c r="W8" s="46"/>
      <c r="X8" s="46"/>
      <c r="Y8" s="47"/>
      <c r="Z8" s="48"/>
      <c r="AA8" s="49"/>
      <c r="AB8" s="50"/>
      <c r="AC8" s="48"/>
      <c r="AD8" s="50"/>
      <c r="AE8" s="50"/>
      <c r="AF8" s="17"/>
    </row>
    <row r="13" spans="1:32" ht="14.5">
      <c r="D13" s="261"/>
    </row>
    <row r="14" spans="1:32" ht="14.5">
      <c r="D14" s="261"/>
    </row>
    <row r="15" spans="1:32" ht="14.5">
      <c r="D15" s="261"/>
    </row>
    <row r="16" spans="1:32" ht="14.5">
      <c r="D16" s="261"/>
    </row>
    <row r="17" spans="4:4" ht="14.5">
      <c r="D17" s="261"/>
    </row>
    <row r="18" spans="4:4" ht="14.5">
      <c r="D18" s="261"/>
    </row>
    <row r="19" spans="4:4" ht="14.5">
      <c r="D19" s="261"/>
    </row>
    <row r="20" spans="4:4">
      <c r="D20" s="237"/>
    </row>
  </sheetData>
  <mergeCells count="1">
    <mergeCell ref="B2:B3"/>
  </mergeCells>
  <phoneticPr fontId="0" type="noConversion"/>
  <printOptions gridLines="1"/>
  <pageMargins left="0.75" right="0.64" top="1.1000000000000001" bottom="0.74" header="0.5" footer="0.5"/>
  <pageSetup fitToHeight="0" orientation="landscape" r:id="rId1"/>
  <headerFooter alignWithMargins="0">
    <oddHeader>&amp;L&amp;8Confidential&amp;C&amp;"Arial,Bold"&amp;11MAHOMET-SEYMOUR C U SCH DIST 3
E-Rate 2025&amp;R&amp;D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workbookViewId="0">
      <selection activeCell="F14" sqref="F14"/>
    </sheetView>
  </sheetViews>
  <sheetFormatPr defaultColWidth="9.1796875" defaultRowHeight="12.5"/>
  <cols>
    <col min="1" max="1" width="9.1796875" style="61"/>
    <col min="2" max="2" width="22" style="64" customWidth="1"/>
    <col min="3" max="3" width="10.1796875" style="66" bestFit="1" customWidth="1"/>
    <col min="4" max="4" width="10.54296875" style="66" customWidth="1"/>
    <col min="5" max="5" width="12.1796875" style="66" customWidth="1"/>
    <col min="6" max="6" width="13.81640625" style="64" customWidth="1"/>
    <col min="7" max="8" width="12.1796875" style="66" customWidth="1"/>
    <col min="9" max="9" width="12.1796875" style="64" customWidth="1"/>
    <col min="10" max="10" width="15.1796875" style="64" customWidth="1"/>
    <col min="11" max="12" width="12.453125" style="64" customWidth="1"/>
    <col min="13" max="14" width="11.1796875" style="64" bestFit="1" customWidth="1"/>
    <col min="15" max="16384" width="9.1796875" style="64"/>
  </cols>
  <sheetData>
    <row r="1" spans="1:14" s="55" customFormat="1" ht="38.25" customHeight="1">
      <c r="A1" s="51" t="s">
        <v>40</v>
      </c>
      <c r="B1" s="52" t="s">
        <v>41</v>
      </c>
      <c r="C1" s="53" t="s">
        <v>42</v>
      </c>
      <c r="D1" s="53" t="s">
        <v>43</v>
      </c>
      <c r="E1" s="53" t="s">
        <v>44</v>
      </c>
      <c r="F1" s="54" t="s">
        <v>1</v>
      </c>
      <c r="G1" s="53" t="s">
        <v>45</v>
      </c>
      <c r="H1" s="53" t="s">
        <v>46</v>
      </c>
      <c r="I1" s="54" t="s">
        <v>47</v>
      </c>
      <c r="J1" s="51"/>
      <c r="K1" s="333" t="s">
        <v>74</v>
      </c>
      <c r="L1" s="333"/>
    </row>
    <row r="2" spans="1:14" s="55" customFormat="1">
      <c r="A2" s="51"/>
      <c r="B2" s="55" t="s">
        <v>58</v>
      </c>
      <c r="C2" s="58">
        <v>86</v>
      </c>
      <c r="D2" s="57" t="s">
        <v>50</v>
      </c>
      <c r="E2" s="55" t="s">
        <v>51</v>
      </c>
      <c r="F2" s="55" t="s">
        <v>56</v>
      </c>
      <c r="G2" s="59">
        <v>427.24</v>
      </c>
      <c r="H2" s="57">
        <f t="shared" ref="H2:H10" si="0">+C2*G2</f>
        <v>36742.639999999999</v>
      </c>
      <c r="I2" s="60">
        <f t="shared" ref="I2:I9" si="1">H2</f>
        <v>36742.639999999999</v>
      </c>
      <c r="J2" s="55" t="s">
        <v>64</v>
      </c>
      <c r="K2" s="55" t="s">
        <v>70</v>
      </c>
      <c r="L2" s="55" t="s">
        <v>71</v>
      </c>
    </row>
    <row r="3" spans="1:14" s="55" customFormat="1">
      <c r="A3" s="51"/>
      <c r="B3" s="55" t="s">
        <v>58</v>
      </c>
      <c r="C3" s="58">
        <v>1</v>
      </c>
      <c r="D3" s="57" t="s">
        <v>62</v>
      </c>
      <c r="G3" s="59">
        <v>5270</v>
      </c>
      <c r="H3" s="57">
        <f t="shared" ref="H3" si="2">+C3*G3</f>
        <v>5270</v>
      </c>
      <c r="I3" s="60">
        <f t="shared" ref="I3" si="3">H3</f>
        <v>5270</v>
      </c>
      <c r="J3" s="55" t="s">
        <v>55</v>
      </c>
      <c r="K3" s="55">
        <v>9310</v>
      </c>
      <c r="L3" s="55">
        <v>4740</v>
      </c>
    </row>
    <row r="4" spans="1:14" s="55" customFormat="1">
      <c r="A4" s="51"/>
      <c r="B4" s="55" t="s">
        <v>58</v>
      </c>
      <c r="C4" s="58">
        <v>1</v>
      </c>
      <c r="D4" s="57" t="s">
        <v>48</v>
      </c>
      <c r="E4" s="57" t="s">
        <v>49</v>
      </c>
      <c r="F4" s="55" t="s">
        <v>67</v>
      </c>
      <c r="G4" s="59">
        <v>604.75</v>
      </c>
      <c r="H4" s="57">
        <f t="shared" si="0"/>
        <v>604.75</v>
      </c>
      <c r="I4" s="60">
        <f t="shared" si="1"/>
        <v>604.75</v>
      </c>
      <c r="J4" s="55" t="s">
        <v>66</v>
      </c>
      <c r="K4" s="55">
        <v>1385.44</v>
      </c>
      <c r="L4" s="55">
        <v>989.6</v>
      </c>
    </row>
    <row r="5" spans="1:14" s="55" customFormat="1">
      <c r="A5" s="51"/>
      <c r="B5" s="55" t="s">
        <v>58</v>
      </c>
      <c r="C5" s="58">
        <v>2</v>
      </c>
      <c r="D5" s="57" t="s">
        <v>50</v>
      </c>
      <c r="E5" s="57" t="s">
        <v>51</v>
      </c>
      <c r="F5" s="55" t="s">
        <v>68</v>
      </c>
      <c r="G5" s="59">
        <v>2592</v>
      </c>
      <c r="H5" s="57">
        <f t="shared" si="0"/>
        <v>5184</v>
      </c>
      <c r="I5" s="60">
        <f>H5</f>
        <v>5184</v>
      </c>
      <c r="J5" s="55" t="s">
        <v>63</v>
      </c>
      <c r="K5" s="55">
        <v>303.52</v>
      </c>
      <c r="L5" s="55">
        <v>216.8</v>
      </c>
    </row>
    <row r="6" spans="1:14" s="55" customFormat="1">
      <c r="A6" s="51"/>
      <c r="B6" s="55" t="s">
        <v>58</v>
      </c>
      <c r="C6" s="58">
        <v>1</v>
      </c>
      <c r="D6" s="57" t="s">
        <v>60</v>
      </c>
      <c r="E6" s="57" t="s">
        <v>61</v>
      </c>
      <c r="G6" s="59">
        <f>K14</f>
        <v>15275.51</v>
      </c>
      <c r="H6" s="57">
        <f>SUM(K3:K13)</f>
        <v>15275.51</v>
      </c>
      <c r="I6" s="60">
        <f t="shared" si="1"/>
        <v>15275.51</v>
      </c>
      <c r="J6" s="55" t="s">
        <v>65</v>
      </c>
      <c r="K6" s="55">
        <v>203.84</v>
      </c>
      <c r="L6" s="55">
        <v>145.6</v>
      </c>
    </row>
    <row r="7" spans="1:14" s="55" customFormat="1">
      <c r="A7" s="51"/>
      <c r="C7" s="58"/>
      <c r="D7" s="57"/>
      <c r="E7" s="57"/>
      <c r="G7" s="59"/>
      <c r="H7" s="57"/>
      <c r="I7" s="60"/>
      <c r="K7" s="55">
        <v>112</v>
      </c>
      <c r="L7" s="55">
        <v>80</v>
      </c>
    </row>
    <row r="8" spans="1:14" s="55" customFormat="1">
      <c r="A8" s="51"/>
      <c r="B8" s="55" t="s">
        <v>59</v>
      </c>
      <c r="C8" s="58">
        <v>1</v>
      </c>
      <c r="D8" s="57" t="s">
        <v>60</v>
      </c>
      <c r="E8" s="57" t="s">
        <v>61</v>
      </c>
      <c r="G8" s="59">
        <f>L14</f>
        <v>6430.55</v>
      </c>
      <c r="H8" s="57">
        <f t="shared" si="0"/>
        <v>6430.55</v>
      </c>
      <c r="I8" s="60">
        <f t="shared" si="1"/>
        <v>6430.55</v>
      </c>
      <c r="J8" s="55" t="s">
        <v>72</v>
      </c>
      <c r="K8" s="55">
        <v>126.56</v>
      </c>
      <c r="L8" s="55">
        <v>90.4</v>
      </c>
      <c r="N8" s="60">
        <f>+H6+H8</f>
        <v>21706.06</v>
      </c>
    </row>
    <row r="9" spans="1:14" s="55" customFormat="1">
      <c r="A9" s="51"/>
      <c r="B9" s="56" t="s">
        <v>59</v>
      </c>
      <c r="C9" s="58">
        <v>1</v>
      </c>
      <c r="D9" s="57" t="s">
        <v>62</v>
      </c>
      <c r="E9" s="57" t="s">
        <v>57</v>
      </c>
      <c r="G9" s="59">
        <v>3230</v>
      </c>
      <c r="H9" s="57">
        <f t="shared" si="0"/>
        <v>3230</v>
      </c>
      <c r="I9" s="60">
        <f t="shared" si="1"/>
        <v>3230</v>
      </c>
      <c r="J9" s="55" t="s">
        <v>69</v>
      </c>
      <c r="K9" s="55">
        <v>336.3</v>
      </c>
      <c r="L9" s="55">
        <v>168.15</v>
      </c>
    </row>
    <row r="10" spans="1:14" s="55" customFormat="1">
      <c r="A10" s="51"/>
      <c r="B10" s="56" t="s">
        <v>59</v>
      </c>
      <c r="C10" s="58">
        <v>1</v>
      </c>
      <c r="D10" s="57" t="s">
        <v>48</v>
      </c>
      <c r="E10" s="57" t="s">
        <v>49</v>
      </c>
      <c r="F10" s="55" t="s">
        <v>67</v>
      </c>
      <c r="G10" s="59">
        <v>604.75</v>
      </c>
      <c r="H10" s="57">
        <f t="shared" si="0"/>
        <v>604.75</v>
      </c>
      <c r="I10" s="60">
        <f t="shared" ref="I10" si="4">H10</f>
        <v>604.75</v>
      </c>
      <c r="J10" s="55" t="s">
        <v>73</v>
      </c>
      <c r="K10" s="55">
        <v>2226.6</v>
      </c>
    </row>
    <row r="11" spans="1:14" s="55" customFormat="1" ht="13">
      <c r="A11" s="51"/>
      <c r="B11" s="52"/>
      <c r="C11" s="58"/>
      <c r="D11" s="57"/>
      <c r="G11" s="59"/>
      <c r="H11" s="57"/>
      <c r="I11" s="60"/>
      <c r="K11" s="55">
        <v>360</v>
      </c>
    </row>
    <row r="12" spans="1:14" s="55" customFormat="1">
      <c r="A12" s="51"/>
      <c r="B12" s="56"/>
      <c r="C12" s="58"/>
      <c r="D12" s="57"/>
      <c r="E12" s="57"/>
      <c r="G12" s="57"/>
      <c r="H12" s="57"/>
      <c r="I12" s="60"/>
      <c r="K12" s="55">
        <v>406.8</v>
      </c>
    </row>
    <row r="13" spans="1:14" s="55" customFormat="1">
      <c r="A13" s="51"/>
      <c r="B13" s="55" t="s">
        <v>52</v>
      </c>
      <c r="C13" s="58"/>
      <c r="D13" s="57"/>
      <c r="E13" s="57"/>
      <c r="G13" s="57"/>
      <c r="H13" s="57">
        <f>SUM(H2:H12)</f>
        <v>73342.2</v>
      </c>
      <c r="I13" s="57">
        <f>SUM(I2:I12)</f>
        <v>73342.2</v>
      </c>
      <c r="K13" s="55">
        <v>504.45</v>
      </c>
    </row>
    <row r="14" spans="1:14" s="55" customFormat="1">
      <c r="A14" s="51"/>
      <c r="C14" s="58"/>
      <c r="D14" s="57"/>
      <c r="E14" s="57"/>
      <c r="G14" s="57"/>
      <c r="H14" s="57"/>
      <c r="I14" s="57">
        <v>73342.2</v>
      </c>
      <c r="K14" s="64">
        <f>SUM(K3:K13)</f>
        <v>15275.51</v>
      </c>
      <c r="L14" s="64">
        <f>SUM(L3:L13)</f>
        <v>6430.55</v>
      </c>
    </row>
    <row r="15" spans="1:14">
      <c r="B15" s="62"/>
      <c r="C15" s="63"/>
      <c r="D15" s="63"/>
      <c r="E15" s="63"/>
      <c r="F15" s="62"/>
      <c r="G15" s="63"/>
      <c r="H15" s="63"/>
      <c r="I15" s="63"/>
    </row>
    <row r="16" spans="1:14">
      <c r="B16" s="55"/>
      <c r="C16" s="331" t="s">
        <v>53</v>
      </c>
      <c r="D16" s="331"/>
      <c r="E16" s="331"/>
      <c r="F16" s="331"/>
      <c r="G16" s="57"/>
      <c r="H16" s="57"/>
      <c r="I16" s="55"/>
      <c r="J16" s="55"/>
      <c r="K16" s="55"/>
      <c r="L16" s="55"/>
    </row>
    <row r="17" spans="1:14" ht="13">
      <c r="A17" s="69"/>
      <c r="B17" s="70" t="s">
        <v>54</v>
      </c>
      <c r="C17" s="71"/>
      <c r="D17" s="71"/>
      <c r="E17" s="72"/>
      <c r="F17" s="72"/>
      <c r="G17" s="54"/>
      <c r="H17" s="54"/>
      <c r="I17" s="53"/>
      <c r="J17" s="53"/>
      <c r="K17" s="53"/>
      <c r="L17" s="53"/>
      <c r="M17" s="65"/>
      <c r="N17" s="65"/>
    </row>
    <row r="18" spans="1:14" s="79" customFormat="1" ht="25" customHeight="1">
      <c r="A18" s="73">
        <v>72263</v>
      </c>
      <c r="B18" s="74" t="s">
        <v>32</v>
      </c>
      <c r="C18" s="75">
        <f>SUM(I2:I6)</f>
        <v>63076.9</v>
      </c>
      <c r="D18" s="75"/>
      <c r="E18" s="75"/>
      <c r="F18" s="75"/>
      <c r="G18" s="76"/>
      <c r="H18" s="76"/>
      <c r="I18" s="76"/>
      <c r="J18" s="76"/>
      <c r="K18" s="76"/>
      <c r="L18" s="76"/>
      <c r="M18" s="77"/>
      <c r="N18" s="78"/>
    </row>
    <row r="19" spans="1:14" s="79" customFormat="1" ht="25" customHeight="1">
      <c r="A19" s="73">
        <v>72264</v>
      </c>
      <c r="B19" s="74" t="s">
        <v>33</v>
      </c>
      <c r="C19" s="75"/>
      <c r="D19" s="75"/>
      <c r="E19" s="75"/>
      <c r="F19" s="75"/>
      <c r="G19" s="76"/>
      <c r="H19" s="76"/>
      <c r="I19" s="76"/>
      <c r="J19" s="76"/>
      <c r="K19" s="76"/>
      <c r="L19" s="76"/>
      <c r="M19" s="77"/>
      <c r="N19" s="78"/>
    </row>
    <row r="20" spans="1:14" s="79" customFormat="1" ht="25" customHeight="1">
      <c r="A20" s="73">
        <v>72265</v>
      </c>
      <c r="B20" s="74" t="s">
        <v>34</v>
      </c>
      <c r="C20" s="75">
        <f>SUM(I8:I10)</f>
        <v>10265.299999999999</v>
      </c>
      <c r="D20" s="75"/>
      <c r="E20" s="75"/>
      <c r="F20" s="75"/>
      <c r="G20" s="76"/>
      <c r="H20" s="76"/>
      <c r="I20" s="76"/>
      <c r="J20" s="76"/>
      <c r="K20" s="76"/>
      <c r="L20" s="76"/>
      <c r="M20" s="77"/>
      <c r="N20" s="78"/>
    </row>
    <row r="21" spans="1:14" s="79" customFormat="1" ht="25" customHeight="1">
      <c r="A21" s="73">
        <v>72266</v>
      </c>
      <c r="B21" s="74" t="s">
        <v>35</v>
      </c>
      <c r="C21" s="75"/>
      <c r="D21" s="75"/>
      <c r="E21" s="75"/>
      <c r="F21" s="75"/>
      <c r="G21" s="76"/>
      <c r="H21" s="76"/>
      <c r="I21" s="76"/>
      <c r="J21" s="76"/>
      <c r="K21" s="76"/>
      <c r="L21" s="76"/>
      <c r="M21" s="77"/>
      <c r="N21" s="78"/>
    </row>
    <row r="22" spans="1:14" s="82" customFormat="1" ht="25" customHeight="1">
      <c r="A22" s="73">
        <v>72267</v>
      </c>
      <c r="B22" s="74" t="s">
        <v>36</v>
      </c>
      <c r="C22" s="80"/>
      <c r="D22" s="80"/>
      <c r="E22" s="80"/>
      <c r="F22" s="80"/>
      <c r="G22" s="81"/>
      <c r="H22" s="81"/>
      <c r="I22" s="81"/>
      <c r="J22" s="81"/>
      <c r="K22" s="81"/>
      <c r="L22" s="81"/>
      <c r="M22" s="81"/>
      <c r="N22" s="81"/>
    </row>
    <row r="23" spans="1:14">
      <c r="I23" s="66"/>
      <c r="J23" s="66"/>
    </row>
    <row r="24" spans="1:14">
      <c r="B24" s="332"/>
      <c r="F24" s="67"/>
      <c r="G24" s="67"/>
      <c r="H24" s="67"/>
      <c r="I24" s="67"/>
      <c r="J24" s="67"/>
      <c r="K24" s="67"/>
      <c r="L24" s="67"/>
    </row>
    <row r="25" spans="1:14">
      <c r="B25" s="332"/>
      <c r="F25" s="67"/>
      <c r="G25" s="67"/>
      <c r="H25" s="67"/>
      <c r="I25" s="67"/>
      <c r="J25" s="67"/>
      <c r="K25" s="67"/>
      <c r="L25" s="67"/>
    </row>
    <row r="26" spans="1:14">
      <c r="B26" s="332"/>
      <c r="F26" s="67"/>
      <c r="G26" s="67"/>
      <c r="H26" s="67"/>
      <c r="I26" s="67"/>
      <c r="J26" s="67"/>
      <c r="K26" s="67"/>
      <c r="L26" s="67"/>
    </row>
    <row r="27" spans="1:14">
      <c r="B27" s="332"/>
      <c r="F27" s="67"/>
      <c r="G27" s="67"/>
      <c r="H27" s="67"/>
      <c r="I27" s="67"/>
      <c r="J27" s="67"/>
      <c r="K27" s="67"/>
      <c r="L27" s="67"/>
    </row>
    <row r="28" spans="1:14">
      <c r="B28" s="332"/>
    </row>
    <row r="29" spans="1:14">
      <c r="B29" s="332"/>
      <c r="F29" s="67"/>
      <c r="G29" s="68"/>
      <c r="H29" s="68"/>
      <c r="I29" s="67"/>
      <c r="J29" s="67"/>
      <c r="K29" s="67"/>
      <c r="L29" s="67"/>
    </row>
    <row r="30" spans="1:14">
      <c r="B30" s="332"/>
      <c r="F30" s="67"/>
      <c r="G30" s="68"/>
      <c r="H30" s="68"/>
      <c r="I30" s="67"/>
      <c r="J30" s="67"/>
      <c r="K30" s="67"/>
      <c r="L30" s="67"/>
    </row>
    <row r="31" spans="1:14">
      <c r="B31" s="332"/>
      <c r="F31" s="67"/>
      <c r="G31" s="68"/>
      <c r="H31" s="68"/>
      <c r="I31" s="67"/>
      <c r="J31" s="67"/>
      <c r="K31" s="67"/>
      <c r="L31" s="67"/>
    </row>
    <row r="32" spans="1:14">
      <c r="B32" s="332"/>
      <c r="F32" s="67"/>
      <c r="G32" s="68"/>
      <c r="H32" s="68"/>
      <c r="I32" s="67"/>
      <c r="J32" s="67"/>
      <c r="K32" s="67"/>
      <c r="L32" s="67"/>
    </row>
    <row r="33" spans="2:12">
      <c r="B33" s="332"/>
      <c r="F33" s="67"/>
      <c r="G33" s="67"/>
      <c r="H33" s="67"/>
      <c r="I33" s="67"/>
      <c r="J33" s="67"/>
      <c r="K33" s="67"/>
      <c r="L33" s="67"/>
    </row>
  </sheetData>
  <mergeCells count="3">
    <mergeCell ref="C16:F16"/>
    <mergeCell ref="B24:B33"/>
    <mergeCell ref="K1:L1"/>
  </mergeCells>
  <printOptions gridLines="1"/>
  <pageMargins left="0.75" right="0.75" top="1" bottom="1" header="0.5" footer="0.5"/>
  <pageSetup scale="65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workbookViewId="0">
      <pane ySplit="1" topLeftCell="A2" activePane="bottomLeft" state="frozen"/>
      <selection pane="bottomLeft" activeCell="L3" sqref="L3"/>
    </sheetView>
  </sheetViews>
  <sheetFormatPr defaultColWidth="9.1796875" defaultRowHeight="12.5"/>
  <cols>
    <col min="1" max="1" width="9.1796875" style="89"/>
    <col min="2" max="4" width="9.1796875" style="88"/>
    <col min="5" max="5" width="5.81640625" style="90" customWidth="1"/>
    <col min="6" max="6" width="9.1796875" style="90"/>
    <col min="7" max="7" width="12.1796875" style="90" bestFit="1" customWidth="1"/>
    <col min="8" max="10" width="5.81640625" style="88" customWidth="1"/>
    <col min="11" max="11" width="9.1796875" style="88"/>
    <col min="12" max="12" width="28.1796875" style="91" customWidth="1"/>
    <col min="13" max="13" width="33.54296875" style="88" bestFit="1" customWidth="1"/>
    <col min="14" max="16384" width="9.1796875" style="88"/>
  </cols>
  <sheetData>
    <row r="1" spans="1:14" ht="26.25" customHeight="1">
      <c r="A1" s="83" t="s">
        <v>79</v>
      </c>
      <c r="B1" s="84" t="s">
        <v>80</v>
      </c>
      <c r="C1" s="84" t="s">
        <v>81</v>
      </c>
      <c r="D1" s="84" t="s">
        <v>82</v>
      </c>
      <c r="E1" s="84" t="s">
        <v>83</v>
      </c>
      <c r="F1" s="84" t="s">
        <v>84</v>
      </c>
      <c r="G1" s="85" t="s">
        <v>85</v>
      </c>
      <c r="H1" s="86" t="s">
        <v>86</v>
      </c>
      <c r="I1" s="86" t="s">
        <v>87</v>
      </c>
      <c r="J1" s="86" t="s">
        <v>88</v>
      </c>
      <c r="K1" s="84" t="s">
        <v>89</v>
      </c>
      <c r="L1" s="86" t="s">
        <v>24</v>
      </c>
      <c r="M1" s="87"/>
      <c r="N1" s="87"/>
    </row>
    <row r="2" spans="1:14" ht="51">
      <c r="A2" s="89">
        <v>45401</v>
      </c>
      <c r="E2" s="90" t="s">
        <v>290</v>
      </c>
      <c r="L2" s="91" t="s">
        <v>295</v>
      </c>
      <c r="M2" s="265" t="s">
        <v>291</v>
      </c>
    </row>
    <row r="3" spans="1:14" ht="15.5">
      <c r="M3" s="265" t="s">
        <v>292</v>
      </c>
    </row>
    <row r="4" spans="1:14" ht="15.5">
      <c r="G4" s="265"/>
      <c r="M4" s="265" t="s">
        <v>293</v>
      </c>
    </row>
    <row r="5" spans="1:14">
      <c r="M5" s="281" t="s">
        <v>294</v>
      </c>
    </row>
    <row r="6" spans="1:14">
      <c r="L6" s="267"/>
      <c r="M6" s="266"/>
    </row>
    <row r="7" spans="1:14" ht="14.5">
      <c r="M7" s="268"/>
    </row>
    <row r="8" spans="1:14" ht="14.5">
      <c r="M8" s="268"/>
    </row>
    <row r="9" spans="1:14">
      <c r="M9" s="269"/>
    </row>
    <row r="13" spans="1:14" ht="14.5">
      <c r="B13" s="270"/>
      <c r="G13" s="271"/>
      <c r="M13" s="272"/>
    </row>
    <row r="14" spans="1:14" ht="14.5">
      <c r="G14" s="264"/>
      <c r="M14" s="272"/>
    </row>
    <row r="16" spans="1:14" ht="14.5">
      <c r="M16" s="272"/>
    </row>
    <row r="17" spans="12:13">
      <c r="M17" s="273"/>
    </row>
    <row r="18" spans="12:13">
      <c r="M18" s="273"/>
    </row>
    <row r="19" spans="12:13">
      <c r="M19" s="273"/>
    </row>
    <row r="20" spans="12:13">
      <c r="M20" s="266"/>
    </row>
    <row r="24" spans="12:13">
      <c r="L24" s="109"/>
    </row>
    <row r="25" spans="12:13">
      <c r="L25"/>
    </row>
    <row r="27" spans="12:13">
      <c r="L27" s="109"/>
    </row>
  </sheetData>
  <hyperlinks>
    <hyperlink ref="M5" r:id="rId1" display="mailto:ruben.santos@usac.org" xr:uid="{BF5BE815-1653-4E3F-AE35-91989075AC5E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A064-1E73-4B9D-8525-396EDCB64B3A}">
  <dimension ref="A1:CT24"/>
  <sheetViews>
    <sheetView workbookViewId="0">
      <selection activeCell="B24" sqref="B24"/>
    </sheetView>
  </sheetViews>
  <sheetFormatPr defaultColWidth="8.81640625" defaultRowHeight="13"/>
  <cols>
    <col min="1" max="1" width="28.6328125" style="39" customWidth="1"/>
    <col min="2" max="2" width="15.6328125" style="39" customWidth="1"/>
    <col min="3" max="4" width="13.453125" style="39" hidden="1" customWidth="1"/>
    <col min="5" max="5" width="11.54296875" style="39" hidden="1" customWidth="1"/>
    <col min="6" max="6" width="13.6328125" style="39" hidden="1" customWidth="1"/>
    <col min="7" max="7" width="12.81640625" style="39" hidden="1" customWidth="1"/>
    <col min="8" max="8" width="11.81640625" style="39" hidden="1" customWidth="1"/>
    <col min="9" max="10" width="8.81640625" style="39" hidden="1" customWidth="1"/>
    <col min="11" max="11" width="3.36328125" style="39" hidden="1" customWidth="1"/>
    <col min="12" max="12" width="14.54296875" style="39" customWidth="1"/>
    <col min="13" max="13" width="8.81640625" style="39" hidden="1" customWidth="1"/>
    <col min="14" max="14" width="8.81640625" style="39" customWidth="1"/>
    <col min="15" max="15" width="11.453125" style="39" hidden="1" customWidth="1"/>
    <col min="16" max="16" width="7.453125" style="39" hidden="1" customWidth="1"/>
    <col min="17" max="17" width="8.81640625" style="282" hidden="1" customWidth="1"/>
    <col min="18" max="32" width="8.81640625" style="39" hidden="1" customWidth="1"/>
    <col min="33" max="33" width="11.453125" style="39" customWidth="1"/>
    <col min="34" max="41" width="0" style="39" hidden="1" customWidth="1"/>
    <col min="42" max="42" width="8.81640625" style="39"/>
    <col min="43" max="72" width="0" style="39" hidden="1" customWidth="1"/>
    <col min="73" max="73" width="8.81640625" style="39"/>
    <col min="74" max="75" width="0" style="39" hidden="1" customWidth="1"/>
    <col min="76" max="77" width="8.81640625" style="39"/>
    <col min="78" max="103" width="0" style="39" hidden="1" customWidth="1"/>
    <col min="104" max="16384" width="8.81640625" style="39"/>
  </cols>
  <sheetData>
    <row r="1" spans="1:98" s="302" customFormat="1" ht="54.5" customHeight="1">
      <c r="A1" s="306" t="s">
        <v>97</v>
      </c>
      <c r="B1" s="306" t="s">
        <v>438</v>
      </c>
      <c r="C1" s="306" t="s">
        <v>437</v>
      </c>
      <c r="D1" s="306" t="s">
        <v>436</v>
      </c>
      <c r="E1" s="306" t="s">
        <v>435</v>
      </c>
      <c r="F1" s="306" t="s">
        <v>434</v>
      </c>
      <c r="G1" s="306" t="s">
        <v>433</v>
      </c>
      <c r="H1" s="306" t="s">
        <v>432</v>
      </c>
      <c r="I1" s="306" t="s">
        <v>431</v>
      </c>
      <c r="J1" s="306" t="s">
        <v>430</v>
      </c>
      <c r="K1" s="306" t="s">
        <v>429</v>
      </c>
      <c r="L1" s="306" t="s">
        <v>428</v>
      </c>
      <c r="M1" s="304" t="s">
        <v>427</v>
      </c>
      <c r="N1" s="304" t="s">
        <v>426</v>
      </c>
      <c r="O1" s="304" t="s">
        <v>425</v>
      </c>
      <c r="P1" s="304" t="s">
        <v>424</v>
      </c>
      <c r="Q1" s="305" t="s">
        <v>423</v>
      </c>
      <c r="R1" s="304" t="s">
        <v>422</v>
      </c>
      <c r="S1" s="304" t="s">
        <v>421</v>
      </c>
      <c r="T1" s="304" t="s">
        <v>420</v>
      </c>
      <c r="U1" s="304" t="s">
        <v>419</v>
      </c>
      <c r="V1" s="304" t="s">
        <v>418</v>
      </c>
      <c r="W1" s="304" t="s">
        <v>417</v>
      </c>
      <c r="X1" s="304" t="s">
        <v>416</v>
      </c>
      <c r="Y1" s="304" t="s">
        <v>415</v>
      </c>
      <c r="Z1" s="304" t="s">
        <v>414</v>
      </c>
      <c r="AA1" s="304" t="s">
        <v>413</v>
      </c>
      <c r="AB1" s="304" t="s">
        <v>412</v>
      </c>
      <c r="AC1" s="304" t="s">
        <v>411</v>
      </c>
      <c r="AD1" s="304" t="s">
        <v>410</v>
      </c>
      <c r="AE1" s="304" t="s">
        <v>409</v>
      </c>
      <c r="AF1" s="304" t="s">
        <v>408</v>
      </c>
      <c r="AG1" s="304" t="s">
        <v>407</v>
      </c>
      <c r="AH1" s="304" t="s">
        <v>406</v>
      </c>
      <c r="AI1" s="304" t="s">
        <v>405</v>
      </c>
      <c r="AJ1" s="304" t="s">
        <v>404</v>
      </c>
      <c r="AK1" s="304" t="s">
        <v>403</v>
      </c>
      <c r="AL1" s="304" t="s">
        <v>402</v>
      </c>
      <c r="AM1" s="304" t="s">
        <v>401</v>
      </c>
      <c r="AN1" s="304" t="s">
        <v>400</v>
      </c>
      <c r="AO1" s="304" t="s">
        <v>399</v>
      </c>
      <c r="AP1" s="304" t="s">
        <v>398</v>
      </c>
      <c r="AQ1" s="304" t="s">
        <v>397</v>
      </c>
      <c r="AR1" s="304" t="s">
        <v>396</v>
      </c>
      <c r="AS1" s="304" t="s">
        <v>395</v>
      </c>
      <c r="AT1" s="304" t="s">
        <v>394</v>
      </c>
      <c r="AU1" s="304" t="s">
        <v>393</v>
      </c>
      <c r="AV1" s="304" t="s">
        <v>392</v>
      </c>
      <c r="AW1" s="304" t="s">
        <v>391</v>
      </c>
      <c r="AX1" s="304" t="s">
        <v>390</v>
      </c>
      <c r="AY1" s="304" t="s">
        <v>389</v>
      </c>
      <c r="AZ1" s="304" t="s">
        <v>388</v>
      </c>
      <c r="BA1" s="304" t="s">
        <v>387</v>
      </c>
      <c r="BB1" s="304" t="s">
        <v>386</v>
      </c>
      <c r="BC1" s="304" t="s">
        <v>385</v>
      </c>
      <c r="BD1" s="304" t="s">
        <v>384</v>
      </c>
      <c r="BE1" s="304" t="s">
        <v>383</v>
      </c>
      <c r="BF1" s="304" t="s">
        <v>382</v>
      </c>
      <c r="BG1" s="304" t="s">
        <v>381</v>
      </c>
      <c r="BH1" s="304" t="s">
        <v>380</v>
      </c>
      <c r="BI1" s="304" t="s">
        <v>379</v>
      </c>
      <c r="BJ1" s="304" t="s">
        <v>378</v>
      </c>
      <c r="BK1" s="304" t="s">
        <v>377</v>
      </c>
      <c r="BL1" s="304" t="s">
        <v>376</v>
      </c>
      <c r="BM1" s="304" t="s">
        <v>375</v>
      </c>
      <c r="BN1" s="304" t="s">
        <v>374</v>
      </c>
      <c r="BO1" s="304" t="s">
        <v>373</v>
      </c>
      <c r="BP1" s="304" t="s">
        <v>372</v>
      </c>
      <c r="BQ1" s="304" t="s">
        <v>371</v>
      </c>
      <c r="BR1" s="304" t="s">
        <v>370</v>
      </c>
      <c r="BS1" s="304" t="s">
        <v>369</v>
      </c>
      <c r="BT1" s="304" t="s">
        <v>368</v>
      </c>
      <c r="BU1" s="304" t="s">
        <v>367</v>
      </c>
      <c r="BV1" s="304" t="s">
        <v>366</v>
      </c>
      <c r="BW1" s="304" t="s">
        <v>365</v>
      </c>
      <c r="BX1" s="304" t="s">
        <v>364</v>
      </c>
      <c r="BY1" s="304" t="s">
        <v>363</v>
      </c>
      <c r="BZ1" s="303" t="s">
        <v>362</v>
      </c>
      <c r="CA1" s="303" t="s">
        <v>361</v>
      </c>
      <c r="CB1" s="303" t="s">
        <v>360</v>
      </c>
      <c r="CC1" s="303" t="s">
        <v>359</v>
      </c>
      <c r="CD1" s="303" t="s">
        <v>358</v>
      </c>
      <c r="CE1" s="303" t="s">
        <v>357</v>
      </c>
      <c r="CF1" s="303" t="s">
        <v>356</v>
      </c>
      <c r="CG1" s="303" t="s">
        <v>355</v>
      </c>
      <c r="CH1" s="303" t="s">
        <v>354</v>
      </c>
      <c r="CI1" s="303" t="s">
        <v>353</v>
      </c>
      <c r="CJ1" s="303" t="s">
        <v>352</v>
      </c>
      <c r="CK1" s="303" t="s">
        <v>351</v>
      </c>
      <c r="CL1" s="303" t="s">
        <v>350</v>
      </c>
      <c r="CM1" s="303" t="s">
        <v>349</v>
      </c>
      <c r="CN1" s="303" t="s">
        <v>348</v>
      </c>
      <c r="CO1" s="303" t="s">
        <v>347</v>
      </c>
      <c r="CP1" s="303" t="s">
        <v>346</v>
      </c>
      <c r="CQ1" s="303" t="s">
        <v>345</v>
      </c>
      <c r="CR1" s="303" t="s">
        <v>344</v>
      </c>
      <c r="CS1" s="303" t="s">
        <v>343</v>
      </c>
      <c r="CT1" s="303" t="s">
        <v>342</v>
      </c>
    </row>
    <row r="2" spans="1:98" s="55" customFormat="1" ht="12.5">
      <c r="A2" s="170" t="s">
        <v>341</v>
      </c>
      <c r="B2" s="300">
        <v>72264</v>
      </c>
      <c r="C2" s="170" t="s">
        <v>54</v>
      </c>
      <c r="D2" s="170" t="s">
        <v>309</v>
      </c>
      <c r="E2" s="170">
        <v>136287</v>
      </c>
      <c r="F2" s="170" t="s">
        <v>308</v>
      </c>
      <c r="G2" s="170">
        <v>12686747</v>
      </c>
      <c r="H2" s="170" t="s">
        <v>307</v>
      </c>
      <c r="I2" s="170"/>
      <c r="J2" s="170"/>
      <c r="K2" s="170"/>
      <c r="L2" s="170" t="s">
        <v>340</v>
      </c>
      <c r="M2" s="170"/>
      <c r="N2" s="170" t="s">
        <v>305</v>
      </c>
      <c r="O2" s="170" t="s">
        <v>314</v>
      </c>
      <c r="P2" s="170" t="s">
        <v>304</v>
      </c>
      <c r="Q2" s="300">
        <v>61853</v>
      </c>
      <c r="R2" s="170"/>
      <c r="S2" s="170" t="s">
        <v>339</v>
      </c>
      <c r="T2" s="170"/>
      <c r="U2" s="170" t="s">
        <v>305</v>
      </c>
      <c r="V2" s="170" t="s">
        <v>314</v>
      </c>
      <c r="W2" s="170" t="s">
        <v>304</v>
      </c>
      <c r="X2" s="170">
        <v>61853</v>
      </c>
      <c r="Y2" s="170">
        <v>200</v>
      </c>
      <c r="Z2" s="170" t="s">
        <v>338</v>
      </c>
      <c r="AA2" s="170"/>
      <c r="AB2" s="170"/>
      <c r="AC2" s="170" t="s">
        <v>302</v>
      </c>
      <c r="AD2" s="170"/>
      <c r="AE2" s="170">
        <v>40.198908000000003</v>
      </c>
      <c r="AF2" s="170">
        <v>-88.406400000000005</v>
      </c>
      <c r="AG2" s="170" t="s">
        <v>113</v>
      </c>
      <c r="AH2" s="170"/>
      <c r="AI2" s="170" t="s">
        <v>301</v>
      </c>
      <c r="AJ2" s="170" t="s">
        <v>301</v>
      </c>
      <c r="AK2" s="170" t="s">
        <v>301</v>
      </c>
      <c r="AL2" s="170" t="s">
        <v>301</v>
      </c>
      <c r="AM2" s="170" t="s">
        <v>301</v>
      </c>
      <c r="AN2" s="170" t="s">
        <v>322</v>
      </c>
      <c r="AO2" s="170"/>
      <c r="AP2" s="170">
        <v>739</v>
      </c>
      <c r="AQ2" s="170"/>
      <c r="AR2" s="170"/>
      <c r="AS2" s="170" t="s">
        <v>301</v>
      </c>
      <c r="AT2" s="170" t="s">
        <v>301</v>
      </c>
      <c r="AU2" s="170" t="s">
        <v>301</v>
      </c>
      <c r="AV2" s="170" t="s">
        <v>301</v>
      </c>
      <c r="AW2" s="170" t="s">
        <v>301</v>
      </c>
      <c r="AX2" s="170" t="s">
        <v>301</v>
      </c>
      <c r="AY2" s="170" t="s">
        <v>301</v>
      </c>
      <c r="AZ2" s="170" t="s">
        <v>301</v>
      </c>
      <c r="BA2" s="170"/>
      <c r="BB2" s="170"/>
      <c r="BC2" s="170"/>
      <c r="BD2" s="170"/>
      <c r="BE2" s="170" t="s">
        <v>301</v>
      </c>
      <c r="BF2" s="170" t="s">
        <v>301</v>
      </c>
      <c r="BG2" s="170" t="s">
        <v>301</v>
      </c>
      <c r="BH2" s="170" t="s">
        <v>301</v>
      </c>
      <c r="BI2" s="170" t="s">
        <v>301</v>
      </c>
      <c r="BJ2" s="170" t="s">
        <v>301</v>
      </c>
      <c r="BK2" s="170" t="s">
        <v>301</v>
      </c>
      <c r="BL2" s="170" t="s">
        <v>301</v>
      </c>
      <c r="BM2" s="170" t="s">
        <v>301</v>
      </c>
      <c r="BN2" s="170" t="s">
        <v>301</v>
      </c>
      <c r="BO2" s="170"/>
      <c r="BP2" s="170"/>
      <c r="BQ2" s="170"/>
      <c r="BR2" s="170"/>
      <c r="BS2" s="170"/>
      <c r="BT2" s="170"/>
      <c r="BU2" s="170">
        <v>739</v>
      </c>
      <c r="BV2" s="170">
        <v>0</v>
      </c>
      <c r="BW2" s="170">
        <v>0</v>
      </c>
      <c r="BX2" s="170">
        <v>153</v>
      </c>
      <c r="BY2" s="170" t="s">
        <v>301</v>
      </c>
      <c r="CA2" s="55" t="s">
        <v>321</v>
      </c>
      <c r="CC2" s="55" t="s">
        <v>301</v>
      </c>
      <c r="CD2" s="55" t="s">
        <v>301</v>
      </c>
      <c r="CE2" s="55" t="s">
        <v>301</v>
      </c>
      <c r="CF2" s="55" t="s">
        <v>301</v>
      </c>
      <c r="CG2" s="55" t="s">
        <v>301</v>
      </c>
      <c r="CH2" s="55" t="s">
        <v>301</v>
      </c>
      <c r="CI2" s="55" t="s">
        <v>301</v>
      </c>
      <c r="CJ2" s="55" t="s">
        <v>301</v>
      </c>
      <c r="CK2" s="55" t="s">
        <v>301</v>
      </c>
      <c r="CL2" s="55" t="s">
        <v>301</v>
      </c>
      <c r="CM2" s="55" t="s">
        <v>320</v>
      </c>
      <c r="CN2" s="55" t="s">
        <v>301</v>
      </c>
      <c r="CO2" s="55" t="s">
        <v>301</v>
      </c>
      <c r="CP2" s="55" t="s">
        <v>301</v>
      </c>
      <c r="CQ2" s="55" t="s">
        <v>301</v>
      </c>
      <c r="CR2" s="55" t="s">
        <v>301</v>
      </c>
      <c r="CS2" s="55" t="s">
        <v>300</v>
      </c>
      <c r="CT2" s="299">
        <v>44122.444444444445</v>
      </c>
    </row>
    <row r="3" spans="1:98" s="55" customFormat="1" ht="12.5">
      <c r="A3" s="170" t="s">
        <v>337</v>
      </c>
      <c r="B3" s="300">
        <v>72263</v>
      </c>
      <c r="C3" s="170" t="s">
        <v>54</v>
      </c>
      <c r="D3" s="170" t="s">
        <v>309</v>
      </c>
      <c r="E3" s="170">
        <v>136287</v>
      </c>
      <c r="F3" s="170" t="s">
        <v>308</v>
      </c>
      <c r="G3" s="170">
        <v>12686754</v>
      </c>
      <c r="H3" s="170" t="s">
        <v>307</v>
      </c>
      <c r="I3" s="170"/>
      <c r="J3" s="170"/>
      <c r="K3" s="170"/>
      <c r="L3" s="170" t="s">
        <v>336</v>
      </c>
      <c r="M3" s="170"/>
      <c r="N3" s="170" t="s">
        <v>305</v>
      </c>
      <c r="O3" s="170" t="s">
        <v>314</v>
      </c>
      <c r="P3" s="170" t="s">
        <v>304</v>
      </c>
      <c r="Q3" s="300">
        <v>61853</v>
      </c>
      <c r="R3" s="170"/>
      <c r="S3" s="170" t="s">
        <v>335</v>
      </c>
      <c r="T3" s="170"/>
      <c r="U3" s="170" t="s">
        <v>305</v>
      </c>
      <c r="V3" s="170" t="s">
        <v>314</v>
      </c>
      <c r="W3" s="170" t="s">
        <v>304</v>
      </c>
      <c r="X3" s="170">
        <v>61853</v>
      </c>
      <c r="Y3" s="170">
        <v>190</v>
      </c>
      <c r="Z3" s="170" t="s">
        <v>334</v>
      </c>
      <c r="AA3" s="170"/>
      <c r="AB3" s="170"/>
      <c r="AC3" s="170" t="s">
        <v>302</v>
      </c>
      <c r="AD3" s="170"/>
      <c r="AE3" s="170">
        <v>40.202252000000001</v>
      </c>
      <c r="AF3" s="170">
        <v>-88.411254999999997</v>
      </c>
      <c r="AG3" s="170" t="s">
        <v>113</v>
      </c>
      <c r="AH3" s="170"/>
      <c r="AI3" s="170" t="s">
        <v>301</v>
      </c>
      <c r="AJ3" s="170" t="s">
        <v>301</v>
      </c>
      <c r="AK3" s="170" t="s">
        <v>301</v>
      </c>
      <c r="AL3" s="170" t="s">
        <v>301</v>
      </c>
      <c r="AM3" s="170" t="s">
        <v>301</v>
      </c>
      <c r="AN3" s="170" t="s">
        <v>322</v>
      </c>
      <c r="AO3" s="170"/>
      <c r="AP3" s="170">
        <v>956</v>
      </c>
      <c r="AQ3" s="170"/>
      <c r="AR3" s="170"/>
      <c r="AS3" s="170" t="s">
        <v>301</v>
      </c>
      <c r="AT3" s="170" t="s">
        <v>301</v>
      </c>
      <c r="AU3" s="170" t="s">
        <v>301</v>
      </c>
      <c r="AV3" s="170" t="s">
        <v>301</v>
      </c>
      <c r="AW3" s="170" t="s">
        <v>301</v>
      </c>
      <c r="AX3" s="170" t="s">
        <v>301</v>
      </c>
      <c r="AY3" s="170" t="s">
        <v>301</v>
      </c>
      <c r="AZ3" s="170" t="s">
        <v>301</v>
      </c>
      <c r="BA3" s="170"/>
      <c r="BB3" s="170"/>
      <c r="BC3" s="170"/>
      <c r="BD3" s="170"/>
      <c r="BE3" s="170" t="s">
        <v>301</v>
      </c>
      <c r="BF3" s="170" t="s">
        <v>301</v>
      </c>
      <c r="BG3" s="170" t="s">
        <v>301</v>
      </c>
      <c r="BH3" s="170" t="s">
        <v>301</v>
      </c>
      <c r="BI3" s="170" t="s">
        <v>301</v>
      </c>
      <c r="BJ3" s="170" t="s">
        <v>301</v>
      </c>
      <c r="BK3" s="170" t="s">
        <v>301</v>
      </c>
      <c r="BL3" s="170" t="s">
        <v>301</v>
      </c>
      <c r="BM3" s="170" t="s">
        <v>301</v>
      </c>
      <c r="BN3" s="170" t="s">
        <v>301</v>
      </c>
      <c r="BO3" s="170"/>
      <c r="BP3" s="170"/>
      <c r="BQ3" s="170"/>
      <c r="BR3" s="170"/>
      <c r="BS3" s="170"/>
      <c r="BT3" s="170"/>
      <c r="BU3" s="170">
        <v>956</v>
      </c>
      <c r="BV3" s="170">
        <v>0</v>
      </c>
      <c r="BW3" s="170">
        <v>0</v>
      </c>
      <c r="BX3" s="170">
        <v>159</v>
      </c>
      <c r="BY3" s="170" t="s">
        <v>301</v>
      </c>
      <c r="CA3" s="55" t="s">
        <v>321</v>
      </c>
      <c r="CC3" s="55" t="s">
        <v>301</v>
      </c>
      <c r="CD3" s="55" t="s">
        <v>301</v>
      </c>
      <c r="CE3" s="55" t="s">
        <v>301</v>
      </c>
      <c r="CF3" s="55" t="s">
        <v>301</v>
      </c>
      <c r="CG3" s="55" t="s">
        <v>301</v>
      </c>
      <c r="CH3" s="55" t="s">
        <v>301</v>
      </c>
      <c r="CI3" s="55" t="s">
        <v>301</v>
      </c>
      <c r="CJ3" s="55" t="s">
        <v>301</v>
      </c>
      <c r="CK3" s="55" t="s">
        <v>301</v>
      </c>
      <c r="CL3" s="55" t="s">
        <v>301</v>
      </c>
      <c r="CM3" s="55" t="s">
        <v>320</v>
      </c>
      <c r="CN3" s="55" t="s">
        <v>301</v>
      </c>
      <c r="CO3" s="55" t="s">
        <v>301</v>
      </c>
      <c r="CP3" s="55" t="s">
        <v>301</v>
      </c>
      <c r="CQ3" s="55" t="s">
        <v>301</v>
      </c>
      <c r="CR3" s="55" t="s">
        <v>301</v>
      </c>
      <c r="CS3" s="55" t="s">
        <v>300</v>
      </c>
      <c r="CT3" s="299">
        <v>44122.444444444445</v>
      </c>
    </row>
    <row r="4" spans="1:98" s="55" customFormat="1" ht="12.5">
      <c r="A4" s="170" t="s">
        <v>333</v>
      </c>
      <c r="B4" s="300">
        <v>72265</v>
      </c>
      <c r="C4" s="170" t="s">
        <v>54</v>
      </c>
      <c r="D4" s="170" t="s">
        <v>309</v>
      </c>
      <c r="E4" s="170">
        <v>136287</v>
      </c>
      <c r="F4" s="170" t="s">
        <v>308</v>
      </c>
      <c r="G4" s="170">
        <v>12686762</v>
      </c>
      <c r="H4" s="170" t="s">
        <v>307</v>
      </c>
      <c r="I4" s="170"/>
      <c r="J4" s="170"/>
      <c r="K4" s="170"/>
      <c r="L4" s="170" t="s">
        <v>332</v>
      </c>
      <c r="M4" s="170"/>
      <c r="N4" s="170" t="s">
        <v>305</v>
      </c>
      <c r="O4" s="170" t="s">
        <v>314</v>
      </c>
      <c r="P4" s="170" t="s">
        <v>304</v>
      </c>
      <c r="Q4" s="300">
        <v>61853</v>
      </c>
      <c r="R4" s="170"/>
      <c r="S4" s="170" t="s">
        <v>331</v>
      </c>
      <c r="T4" s="170"/>
      <c r="U4" s="170" t="s">
        <v>305</v>
      </c>
      <c r="V4" s="170" t="s">
        <v>314</v>
      </c>
      <c r="W4" s="170" t="s">
        <v>304</v>
      </c>
      <c r="X4" s="170">
        <v>61853</v>
      </c>
      <c r="Y4" s="170">
        <v>560</v>
      </c>
      <c r="Z4" s="170" t="s">
        <v>330</v>
      </c>
      <c r="AA4" s="170"/>
      <c r="AB4" s="170"/>
      <c r="AC4" s="170" t="s">
        <v>302</v>
      </c>
      <c r="AD4" s="170"/>
      <c r="AE4" s="170">
        <v>40.199089999999998</v>
      </c>
      <c r="AF4" s="170">
        <v>-88.409513000000004</v>
      </c>
      <c r="AG4" s="170" t="s">
        <v>113</v>
      </c>
      <c r="AH4" s="170"/>
      <c r="AI4" s="170" t="s">
        <v>301</v>
      </c>
      <c r="AJ4" s="170" t="s">
        <v>301</v>
      </c>
      <c r="AK4" s="170" t="s">
        <v>301</v>
      </c>
      <c r="AL4" s="170" t="s">
        <v>301</v>
      </c>
      <c r="AM4" s="170" t="s">
        <v>301</v>
      </c>
      <c r="AN4" s="170" t="s">
        <v>322</v>
      </c>
      <c r="AO4" s="170"/>
      <c r="AP4" s="170">
        <v>736</v>
      </c>
      <c r="AQ4" s="170"/>
      <c r="AR4" s="170"/>
      <c r="AS4" s="170" t="s">
        <v>301</v>
      </c>
      <c r="AT4" s="170" t="s">
        <v>301</v>
      </c>
      <c r="AU4" s="170" t="s">
        <v>301</v>
      </c>
      <c r="AV4" s="170" t="s">
        <v>301</v>
      </c>
      <c r="AW4" s="170" t="s">
        <v>301</v>
      </c>
      <c r="AX4" s="170" t="s">
        <v>301</v>
      </c>
      <c r="AY4" s="170" t="s">
        <v>301</v>
      </c>
      <c r="AZ4" s="170" t="s">
        <v>301</v>
      </c>
      <c r="BA4" s="170"/>
      <c r="BB4" s="170"/>
      <c r="BC4" s="170"/>
      <c r="BD4" s="170"/>
      <c r="BE4" s="170" t="s">
        <v>301</v>
      </c>
      <c r="BF4" s="170" t="s">
        <v>301</v>
      </c>
      <c r="BG4" s="170" t="s">
        <v>301</v>
      </c>
      <c r="BH4" s="170" t="s">
        <v>301</v>
      </c>
      <c r="BI4" s="170" t="s">
        <v>301</v>
      </c>
      <c r="BJ4" s="170" t="s">
        <v>301</v>
      </c>
      <c r="BK4" s="170" t="s">
        <v>301</v>
      </c>
      <c r="BL4" s="170" t="s">
        <v>301</v>
      </c>
      <c r="BM4" s="170" t="s">
        <v>301</v>
      </c>
      <c r="BN4" s="170" t="s">
        <v>301</v>
      </c>
      <c r="BO4" s="170"/>
      <c r="BP4" s="170"/>
      <c r="BQ4" s="170"/>
      <c r="BR4" s="170"/>
      <c r="BS4" s="170"/>
      <c r="BT4" s="170"/>
      <c r="BU4" s="170">
        <v>736</v>
      </c>
      <c r="BV4" s="170">
        <v>0</v>
      </c>
      <c r="BW4" s="170">
        <v>0</v>
      </c>
      <c r="BX4" s="170">
        <v>170</v>
      </c>
      <c r="BY4" s="170" t="s">
        <v>301</v>
      </c>
      <c r="CA4" s="55" t="s">
        <v>321</v>
      </c>
      <c r="CC4" s="55" t="s">
        <v>301</v>
      </c>
      <c r="CD4" s="55" t="s">
        <v>301</v>
      </c>
      <c r="CE4" s="55" t="s">
        <v>301</v>
      </c>
      <c r="CF4" s="55" t="s">
        <v>301</v>
      </c>
      <c r="CG4" s="55" t="s">
        <v>301</v>
      </c>
      <c r="CH4" s="55" t="s">
        <v>301</v>
      </c>
      <c r="CI4" s="55" t="s">
        <v>301</v>
      </c>
      <c r="CJ4" s="55" t="s">
        <v>301</v>
      </c>
      <c r="CK4" s="55" t="s">
        <v>301</v>
      </c>
      <c r="CL4" s="55" t="s">
        <v>301</v>
      </c>
      <c r="CM4" s="55" t="s">
        <v>320</v>
      </c>
      <c r="CN4" s="55" t="s">
        <v>301</v>
      </c>
      <c r="CO4" s="55" t="s">
        <v>301</v>
      </c>
      <c r="CP4" s="55" t="s">
        <v>301</v>
      </c>
      <c r="CQ4" s="55" t="s">
        <v>301</v>
      </c>
      <c r="CR4" s="55" t="s">
        <v>301</v>
      </c>
      <c r="CS4" s="55" t="s">
        <v>300</v>
      </c>
      <c r="CT4" s="299">
        <v>44122.444444444445</v>
      </c>
    </row>
    <row r="5" spans="1:98" s="55" customFormat="1" ht="12.5">
      <c r="A5" s="170" t="s">
        <v>329</v>
      </c>
      <c r="B5" s="300">
        <v>72266</v>
      </c>
      <c r="C5" s="170" t="s">
        <v>54</v>
      </c>
      <c r="D5" s="170" t="s">
        <v>309</v>
      </c>
      <c r="E5" s="170">
        <v>136287</v>
      </c>
      <c r="F5" s="170" t="s">
        <v>308</v>
      </c>
      <c r="G5" s="170">
        <v>12686770</v>
      </c>
      <c r="H5" s="170" t="s">
        <v>307</v>
      </c>
      <c r="I5" s="170"/>
      <c r="J5" s="170"/>
      <c r="K5" s="170"/>
      <c r="L5" s="170" t="s">
        <v>328</v>
      </c>
      <c r="M5" s="170"/>
      <c r="N5" s="170" t="s">
        <v>305</v>
      </c>
      <c r="O5" s="170" t="s">
        <v>314</v>
      </c>
      <c r="P5" s="170" t="s">
        <v>304</v>
      </c>
      <c r="Q5" s="300">
        <v>61853</v>
      </c>
      <c r="R5" s="170">
        <v>8915</v>
      </c>
      <c r="S5" s="170" t="s">
        <v>328</v>
      </c>
      <c r="T5" s="170"/>
      <c r="U5" s="170" t="s">
        <v>305</v>
      </c>
      <c r="V5" s="170" t="s">
        <v>314</v>
      </c>
      <c r="W5" s="170" t="s">
        <v>304</v>
      </c>
      <c r="X5" s="170">
        <v>61853</v>
      </c>
      <c r="Y5" s="170">
        <v>8915</v>
      </c>
      <c r="Z5" s="170" t="s">
        <v>327</v>
      </c>
      <c r="AA5" s="170"/>
      <c r="AB5" s="170"/>
      <c r="AC5" s="170" t="s">
        <v>302</v>
      </c>
      <c r="AD5" s="170"/>
      <c r="AE5" s="170">
        <v>40.197571000000003</v>
      </c>
      <c r="AF5" s="170">
        <v>-88.409119000000004</v>
      </c>
      <c r="AG5" s="170" t="s">
        <v>113</v>
      </c>
      <c r="AH5" s="170"/>
      <c r="AI5" s="170" t="s">
        <v>301</v>
      </c>
      <c r="AJ5" s="170" t="s">
        <v>301</v>
      </c>
      <c r="AK5" s="170" t="s">
        <v>301</v>
      </c>
      <c r="AL5" s="170" t="s">
        <v>301</v>
      </c>
      <c r="AM5" s="170" t="s">
        <v>301</v>
      </c>
      <c r="AN5" s="170" t="s">
        <v>322</v>
      </c>
      <c r="AO5" s="170"/>
      <c r="AP5" s="170">
        <v>807</v>
      </c>
      <c r="AQ5" s="170"/>
      <c r="AR5" s="170"/>
      <c r="AS5" s="170" t="s">
        <v>301</v>
      </c>
      <c r="AT5" s="170" t="s">
        <v>301</v>
      </c>
      <c r="AU5" s="170" t="s">
        <v>301</v>
      </c>
      <c r="AV5" s="170" t="s">
        <v>301</v>
      </c>
      <c r="AW5" s="170" t="s">
        <v>301</v>
      </c>
      <c r="AX5" s="170" t="s">
        <v>301</v>
      </c>
      <c r="AY5" s="170" t="s">
        <v>301</v>
      </c>
      <c r="AZ5" s="170" t="s">
        <v>301</v>
      </c>
      <c r="BA5" s="170"/>
      <c r="BB5" s="170"/>
      <c r="BC5" s="170"/>
      <c r="BD5" s="170"/>
      <c r="BE5" s="170" t="s">
        <v>301</v>
      </c>
      <c r="BF5" s="170" t="s">
        <v>301</v>
      </c>
      <c r="BG5" s="170" t="s">
        <v>301</v>
      </c>
      <c r="BH5" s="170" t="s">
        <v>301</v>
      </c>
      <c r="BI5" s="170" t="s">
        <v>301</v>
      </c>
      <c r="BJ5" s="170" t="s">
        <v>301</v>
      </c>
      <c r="BK5" s="170" t="s">
        <v>301</v>
      </c>
      <c r="BL5" s="170" t="s">
        <v>301</v>
      </c>
      <c r="BM5" s="170" t="s">
        <v>301</v>
      </c>
      <c r="BN5" s="170" t="s">
        <v>301</v>
      </c>
      <c r="BO5" s="170"/>
      <c r="BP5" s="170"/>
      <c r="BQ5" s="170"/>
      <c r="BR5" s="170"/>
      <c r="BS5" s="170"/>
      <c r="BT5" s="170"/>
      <c r="BU5" s="170">
        <v>807</v>
      </c>
      <c r="BV5" s="170">
        <v>0</v>
      </c>
      <c r="BW5" s="170">
        <v>0</v>
      </c>
      <c r="BX5" s="170">
        <v>170</v>
      </c>
      <c r="BY5" s="170" t="s">
        <v>301</v>
      </c>
      <c r="CA5" s="55" t="s">
        <v>321</v>
      </c>
      <c r="CC5" s="55" t="s">
        <v>301</v>
      </c>
      <c r="CD5" s="55" t="s">
        <v>301</v>
      </c>
      <c r="CE5" s="55" t="s">
        <v>301</v>
      </c>
      <c r="CF5" s="55" t="s">
        <v>301</v>
      </c>
      <c r="CG5" s="55" t="s">
        <v>301</v>
      </c>
      <c r="CH5" s="55" t="s">
        <v>301</v>
      </c>
      <c r="CI5" s="55" t="s">
        <v>301</v>
      </c>
      <c r="CJ5" s="55" t="s">
        <v>301</v>
      </c>
      <c r="CK5" s="55" t="s">
        <v>301</v>
      </c>
      <c r="CL5" s="55" t="s">
        <v>301</v>
      </c>
      <c r="CM5" s="55" t="s">
        <v>320</v>
      </c>
      <c r="CN5" s="55" t="s">
        <v>301</v>
      </c>
      <c r="CO5" s="55" t="s">
        <v>301</v>
      </c>
      <c r="CP5" s="55" t="s">
        <v>301</v>
      </c>
      <c r="CQ5" s="55" t="s">
        <v>301</v>
      </c>
      <c r="CR5" s="55" t="s">
        <v>301</v>
      </c>
      <c r="CS5" s="55" t="s">
        <v>326</v>
      </c>
      <c r="CT5" s="299">
        <v>44122.444444444445</v>
      </c>
    </row>
    <row r="6" spans="1:98" s="55" customFormat="1" ht="12.5">
      <c r="A6" s="170" t="s">
        <v>325</v>
      </c>
      <c r="B6" s="300">
        <v>72267</v>
      </c>
      <c r="C6" s="170" t="s">
        <v>54</v>
      </c>
      <c r="D6" s="170" t="s">
        <v>309</v>
      </c>
      <c r="E6" s="170">
        <v>136287</v>
      </c>
      <c r="F6" s="170" t="s">
        <v>308</v>
      </c>
      <c r="G6" s="170">
        <v>12686788</v>
      </c>
      <c r="H6" s="170" t="s">
        <v>307</v>
      </c>
      <c r="I6" s="170"/>
      <c r="J6" s="170"/>
      <c r="K6" s="170"/>
      <c r="L6" s="170" t="s">
        <v>324</v>
      </c>
      <c r="M6" s="170"/>
      <c r="N6" s="170" t="s">
        <v>305</v>
      </c>
      <c r="O6" s="170" t="s">
        <v>314</v>
      </c>
      <c r="P6" s="170" t="s">
        <v>304</v>
      </c>
      <c r="Q6" s="300">
        <v>61853</v>
      </c>
      <c r="R6" s="170">
        <v>9126</v>
      </c>
      <c r="S6" s="170" t="s">
        <v>324</v>
      </c>
      <c r="T6" s="170"/>
      <c r="U6" s="170" t="s">
        <v>305</v>
      </c>
      <c r="V6" s="170" t="s">
        <v>314</v>
      </c>
      <c r="W6" s="170" t="s">
        <v>304</v>
      </c>
      <c r="X6" s="170">
        <v>61853</v>
      </c>
      <c r="Y6" s="170">
        <v>9126</v>
      </c>
      <c r="Z6" s="170" t="s">
        <v>323</v>
      </c>
      <c r="AA6" s="170"/>
      <c r="AB6" s="170"/>
      <c r="AC6" s="170" t="s">
        <v>302</v>
      </c>
      <c r="AD6" s="170"/>
      <c r="AE6" s="170">
        <v>40.195404000000003</v>
      </c>
      <c r="AF6" s="170">
        <v>-88.415715000000006</v>
      </c>
      <c r="AG6" s="170" t="s">
        <v>113</v>
      </c>
      <c r="AH6" s="170"/>
      <c r="AI6" s="170" t="s">
        <v>301</v>
      </c>
      <c r="AJ6" s="170" t="s">
        <v>301</v>
      </c>
      <c r="AK6" s="170" t="s">
        <v>301</v>
      </c>
      <c r="AL6" s="170" t="s">
        <v>301</v>
      </c>
      <c r="AM6" s="170" t="s">
        <v>301</v>
      </c>
      <c r="AN6" s="170" t="s">
        <v>322</v>
      </c>
      <c r="AO6" s="170"/>
      <c r="AP6" s="170">
        <v>0</v>
      </c>
      <c r="AQ6" s="170"/>
      <c r="AR6" s="170"/>
      <c r="AS6" s="170" t="s">
        <v>301</v>
      </c>
      <c r="AT6" s="170" t="s">
        <v>301</v>
      </c>
      <c r="AU6" s="170" t="s">
        <v>301</v>
      </c>
      <c r="AV6" s="170" t="s">
        <v>301</v>
      </c>
      <c r="AW6" s="170" t="s">
        <v>301</v>
      </c>
      <c r="AX6" s="170" t="s">
        <v>301</v>
      </c>
      <c r="AY6" s="170" t="s">
        <v>301</v>
      </c>
      <c r="AZ6" s="170" t="s">
        <v>301</v>
      </c>
      <c r="BA6" s="170"/>
      <c r="BB6" s="170"/>
      <c r="BC6" s="170"/>
      <c r="BD6" s="170"/>
      <c r="BE6" s="170" t="s">
        <v>301</v>
      </c>
      <c r="BF6" s="170" t="s">
        <v>301</v>
      </c>
      <c r="BG6" s="170" t="s">
        <v>301</v>
      </c>
      <c r="BH6" s="170" t="s">
        <v>301</v>
      </c>
      <c r="BI6" s="170" t="s">
        <v>301</v>
      </c>
      <c r="BJ6" s="170" t="s">
        <v>301</v>
      </c>
      <c r="BK6" s="170" t="s">
        <v>301</v>
      </c>
      <c r="BL6" s="170" t="s">
        <v>301</v>
      </c>
      <c r="BM6" s="170" t="s">
        <v>301</v>
      </c>
      <c r="BN6" s="170" t="s">
        <v>301</v>
      </c>
      <c r="BO6" s="170"/>
      <c r="BP6" s="170"/>
      <c r="BQ6" s="170"/>
      <c r="BR6" s="170"/>
      <c r="BS6" s="170"/>
      <c r="BT6" s="170"/>
      <c r="BU6" s="170">
        <v>0</v>
      </c>
      <c r="BV6" s="170">
        <v>0</v>
      </c>
      <c r="BW6" s="170">
        <v>0</v>
      </c>
      <c r="BX6" s="170">
        <v>0</v>
      </c>
      <c r="BY6" s="170" t="s">
        <v>301</v>
      </c>
      <c r="CA6" s="55" t="s">
        <v>321</v>
      </c>
      <c r="CC6" s="55" t="s">
        <v>301</v>
      </c>
      <c r="CD6" s="55" t="s">
        <v>301</v>
      </c>
      <c r="CE6" s="55" t="s">
        <v>301</v>
      </c>
      <c r="CF6" s="55" t="s">
        <v>301</v>
      </c>
      <c r="CG6" s="55" t="s">
        <v>301</v>
      </c>
      <c r="CH6" s="55" t="s">
        <v>301</v>
      </c>
      <c r="CI6" s="55" t="s">
        <v>301</v>
      </c>
      <c r="CJ6" s="55" t="s">
        <v>301</v>
      </c>
      <c r="CK6" s="55" t="s">
        <v>301</v>
      </c>
      <c r="CL6" s="55" t="s">
        <v>301</v>
      </c>
      <c r="CM6" s="55" t="s">
        <v>320</v>
      </c>
      <c r="CN6" s="55" t="s">
        <v>301</v>
      </c>
      <c r="CO6" s="55" t="s">
        <v>301</v>
      </c>
      <c r="CP6" s="55" t="s">
        <v>301</v>
      </c>
      <c r="CQ6" s="55" t="s">
        <v>301</v>
      </c>
      <c r="CR6" s="55" t="s">
        <v>301</v>
      </c>
      <c r="CS6" s="55" t="s">
        <v>319</v>
      </c>
      <c r="CT6" s="299">
        <v>44122.444444444445</v>
      </c>
    </row>
    <row r="7" spans="1:98" s="55" customFormat="1">
      <c r="A7" s="170"/>
      <c r="B7" s="30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30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59" t="s">
        <v>318</v>
      </c>
      <c r="AH7" s="159"/>
      <c r="AI7" s="159"/>
      <c r="AJ7" s="159"/>
      <c r="AK7" s="159"/>
      <c r="AL7" s="159"/>
      <c r="AM7" s="159"/>
      <c r="AN7" s="159"/>
      <c r="AO7" s="159"/>
      <c r="AP7" s="159">
        <f t="shared" ref="AP7:BU7" si="0">SUM(AP2:AP6)</f>
        <v>3238</v>
      </c>
      <c r="AQ7" s="170">
        <f t="shared" si="0"/>
        <v>0</v>
      </c>
      <c r="AR7" s="170">
        <f t="shared" si="0"/>
        <v>0</v>
      </c>
      <c r="AS7" s="170">
        <f t="shared" si="0"/>
        <v>0</v>
      </c>
      <c r="AT7" s="170">
        <f t="shared" si="0"/>
        <v>0</v>
      </c>
      <c r="AU7" s="170">
        <f t="shared" si="0"/>
        <v>0</v>
      </c>
      <c r="AV7" s="170">
        <f t="shared" si="0"/>
        <v>0</v>
      </c>
      <c r="AW7" s="170">
        <f t="shared" si="0"/>
        <v>0</v>
      </c>
      <c r="AX7" s="170">
        <f t="shared" si="0"/>
        <v>0</v>
      </c>
      <c r="AY7" s="170">
        <f t="shared" si="0"/>
        <v>0</v>
      </c>
      <c r="AZ7" s="170">
        <f t="shared" si="0"/>
        <v>0</v>
      </c>
      <c r="BA7" s="170">
        <f t="shared" si="0"/>
        <v>0</v>
      </c>
      <c r="BB7" s="170">
        <f t="shared" si="0"/>
        <v>0</v>
      </c>
      <c r="BC7" s="170">
        <f t="shared" si="0"/>
        <v>0</v>
      </c>
      <c r="BD7" s="170">
        <f t="shared" si="0"/>
        <v>0</v>
      </c>
      <c r="BE7" s="170">
        <f t="shared" si="0"/>
        <v>0</v>
      </c>
      <c r="BF7" s="170">
        <f t="shared" si="0"/>
        <v>0</v>
      </c>
      <c r="BG7" s="170">
        <f t="shared" si="0"/>
        <v>0</v>
      </c>
      <c r="BH7" s="170">
        <f t="shared" si="0"/>
        <v>0</v>
      </c>
      <c r="BI7" s="170">
        <f t="shared" si="0"/>
        <v>0</v>
      </c>
      <c r="BJ7" s="170">
        <f t="shared" si="0"/>
        <v>0</v>
      </c>
      <c r="BK7" s="170">
        <f t="shared" si="0"/>
        <v>0</v>
      </c>
      <c r="BL7" s="170">
        <f t="shared" si="0"/>
        <v>0</v>
      </c>
      <c r="BM7" s="170">
        <f t="shared" si="0"/>
        <v>0</v>
      </c>
      <c r="BN7" s="170">
        <f t="shared" si="0"/>
        <v>0</v>
      </c>
      <c r="BO7" s="170">
        <f t="shared" si="0"/>
        <v>0</v>
      </c>
      <c r="BP7" s="170">
        <f t="shared" si="0"/>
        <v>0</v>
      </c>
      <c r="BQ7" s="170">
        <f t="shared" si="0"/>
        <v>0</v>
      </c>
      <c r="BR7" s="170">
        <f t="shared" si="0"/>
        <v>0</v>
      </c>
      <c r="BS7" s="170">
        <f t="shared" si="0"/>
        <v>0</v>
      </c>
      <c r="BT7" s="170">
        <f t="shared" si="0"/>
        <v>0</v>
      </c>
      <c r="BU7" s="170">
        <f t="shared" si="0"/>
        <v>3238</v>
      </c>
      <c r="BV7" s="170"/>
      <c r="BW7" s="170"/>
      <c r="BX7" s="170">
        <f>SUM(BX2:BX6)</f>
        <v>652</v>
      </c>
      <c r="BY7" s="170"/>
    </row>
    <row r="8" spans="1:98" s="55" customFormat="1">
      <c r="A8" s="170"/>
      <c r="B8" s="30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30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59" t="s">
        <v>317</v>
      </c>
      <c r="AH8" s="159"/>
      <c r="AI8" s="159"/>
      <c r="AJ8" s="159"/>
      <c r="AK8" s="159"/>
      <c r="AL8" s="159"/>
      <c r="AM8" s="159"/>
      <c r="AN8" s="159"/>
      <c r="AO8" s="159"/>
      <c r="AP8" s="301">
        <v>0.6</v>
      </c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</row>
    <row r="9" spans="1:98" s="55" customFormat="1" ht="12.5">
      <c r="A9" s="170" t="s">
        <v>316</v>
      </c>
      <c r="B9" s="300">
        <v>16023154</v>
      </c>
      <c r="C9" s="170" t="s">
        <v>310</v>
      </c>
      <c r="D9" s="170" t="s">
        <v>309</v>
      </c>
      <c r="E9" s="170">
        <v>136287</v>
      </c>
      <c r="F9" s="170" t="s">
        <v>308</v>
      </c>
      <c r="G9" s="170"/>
      <c r="H9" s="170" t="s">
        <v>307</v>
      </c>
      <c r="I9" s="170"/>
      <c r="J9" s="170"/>
      <c r="K9" s="170"/>
      <c r="L9" s="170" t="s">
        <v>315</v>
      </c>
      <c r="M9" s="170"/>
      <c r="N9" s="170" t="s">
        <v>305</v>
      </c>
      <c r="O9" s="170" t="s">
        <v>314</v>
      </c>
      <c r="P9" s="170" t="s">
        <v>313</v>
      </c>
      <c r="Q9" s="300">
        <v>61853</v>
      </c>
      <c r="R9" s="170"/>
      <c r="S9" s="170" t="s">
        <v>315</v>
      </c>
      <c r="T9" s="170"/>
      <c r="U9" s="170" t="s">
        <v>305</v>
      </c>
      <c r="V9" s="170" t="s">
        <v>314</v>
      </c>
      <c r="W9" s="170" t="s">
        <v>313</v>
      </c>
      <c r="X9" s="170">
        <v>61853</v>
      </c>
      <c r="Y9" s="170"/>
      <c r="Z9" s="170" t="s">
        <v>312</v>
      </c>
      <c r="AA9" s="170"/>
      <c r="AB9" s="170"/>
      <c r="AC9" s="170" t="s">
        <v>302</v>
      </c>
      <c r="AD9" s="170"/>
      <c r="AE9" s="170">
        <v>40.225357000000002</v>
      </c>
      <c r="AF9" s="170">
        <v>-82.688139000000007</v>
      </c>
      <c r="AG9" s="170"/>
      <c r="AH9" s="170"/>
      <c r="AI9" s="170" t="s">
        <v>301</v>
      </c>
      <c r="AJ9" s="170" t="s">
        <v>301</v>
      </c>
      <c r="AK9" s="170" t="s">
        <v>301</v>
      </c>
      <c r="AL9" s="170" t="s">
        <v>301</v>
      </c>
      <c r="AM9" s="170" t="s">
        <v>301</v>
      </c>
      <c r="AN9" s="170"/>
      <c r="AO9" s="170"/>
      <c r="AP9" s="170"/>
      <c r="AQ9" s="170"/>
      <c r="AR9" s="170"/>
      <c r="AS9" s="170" t="s">
        <v>301</v>
      </c>
      <c r="AT9" s="170" t="s">
        <v>301</v>
      </c>
      <c r="AU9" s="170" t="s">
        <v>301</v>
      </c>
      <c r="AV9" s="170" t="s">
        <v>301</v>
      </c>
      <c r="AW9" s="170" t="s">
        <v>301</v>
      </c>
      <c r="AX9" s="170" t="s">
        <v>301</v>
      </c>
      <c r="AY9" s="170" t="s">
        <v>301</v>
      </c>
      <c r="AZ9" s="170" t="s">
        <v>301</v>
      </c>
      <c r="BA9" s="170"/>
      <c r="BB9" s="170"/>
      <c r="BC9" s="170"/>
      <c r="BD9" s="170"/>
      <c r="BE9" s="170" t="s">
        <v>301</v>
      </c>
      <c r="BF9" s="170" t="s">
        <v>301</v>
      </c>
      <c r="BG9" s="170" t="s">
        <v>301</v>
      </c>
      <c r="BH9" s="170" t="s">
        <v>301</v>
      </c>
      <c r="BI9" s="170" t="s">
        <v>301</v>
      </c>
      <c r="BJ9" s="170" t="s">
        <v>301</v>
      </c>
      <c r="BK9" s="170" t="s">
        <v>301</v>
      </c>
      <c r="BL9" s="170" t="s">
        <v>301</v>
      </c>
      <c r="BM9" s="170" t="s">
        <v>301</v>
      </c>
      <c r="BN9" s="170" t="s">
        <v>301</v>
      </c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 t="s">
        <v>301</v>
      </c>
      <c r="CC9" s="55" t="s">
        <v>301</v>
      </c>
      <c r="CD9" s="55" t="s">
        <v>301</v>
      </c>
      <c r="CE9" s="55" t="s">
        <v>301</v>
      </c>
      <c r="CF9" s="55" t="s">
        <v>301</v>
      </c>
      <c r="CG9" s="55" t="s">
        <v>301</v>
      </c>
      <c r="CH9" s="55" t="s">
        <v>301</v>
      </c>
      <c r="CI9" s="55" t="s">
        <v>301</v>
      </c>
      <c r="CJ9" s="55" t="s">
        <v>301</v>
      </c>
      <c r="CK9" s="55" t="s">
        <v>301</v>
      </c>
      <c r="CL9" s="55" t="s">
        <v>301</v>
      </c>
      <c r="CM9" s="55" t="s">
        <v>301</v>
      </c>
      <c r="CN9" s="55" t="s">
        <v>301</v>
      </c>
      <c r="CO9" s="55" t="s">
        <v>301</v>
      </c>
      <c r="CP9" s="55" t="s">
        <v>301</v>
      </c>
      <c r="CQ9" s="55" t="s">
        <v>301</v>
      </c>
      <c r="CR9" s="55" t="s">
        <v>301</v>
      </c>
      <c r="CS9" s="55" t="s">
        <v>300</v>
      </c>
      <c r="CT9" s="299">
        <v>42417.480555555558</v>
      </c>
    </row>
    <row r="10" spans="1:98" s="55" customFormat="1" ht="12.5">
      <c r="A10" s="170" t="s">
        <v>311</v>
      </c>
      <c r="B10" s="300">
        <v>16030543</v>
      </c>
      <c r="C10" s="170" t="s">
        <v>310</v>
      </c>
      <c r="D10" s="170" t="s">
        <v>309</v>
      </c>
      <c r="E10" s="170">
        <v>136287</v>
      </c>
      <c r="F10" s="170" t="s">
        <v>308</v>
      </c>
      <c r="G10" s="170"/>
      <c r="H10" s="170" t="s">
        <v>307</v>
      </c>
      <c r="I10" s="170"/>
      <c r="J10" s="170"/>
      <c r="K10" s="170"/>
      <c r="L10" s="170" t="s">
        <v>306</v>
      </c>
      <c r="M10" s="170"/>
      <c r="N10" s="170" t="s">
        <v>305</v>
      </c>
      <c r="O10" s="170"/>
      <c r="P10" s="170" t="s">
        <v>304</v>
      </c>
      <c r="Q10" s="300">
        <v>61853</v>
      </c>
      <c r="R10" s="170"/>
      <c r="S10" s="170" t="s">
        <v>306</v>
      </c>
      <c r="T10" s="170"/>
      <c r="U10" s="170" t="s">
        <v>305</v>
      </c>
      <c r="V10" s="170"/>
      <c r="W10" s="170" t="s">
        <v>304</v>
      </c>
      <c r="X10" s="170">
        <v>61853</v>
      </c>
      <c r="Y10" s="170"/>
      <c r="Z10" s="170" t="s">
        <v>303</v>
      </c>
      <c r="AA10" s="170"/>
      <c r="AB10" s="170"/>
      <c r="AC10" s="170" t="s">
        <v>302</v>
      </c>
      <c r="AD10" s="170"/>
      <c r="AE10" s="170">
        <v>40.197001999999998</v>
      </c>
      <c r="AF10" s="170">
        <v>-88.408348000000004</v>
      </c>
      <c r="AG10" s="170"/>
      <c r="AH10" s="170"/>
      <c r="AI10" s="170" t="s">
        <v>301</v>
      </c>
      <c r="AJ10" s="170" t="s">
        <v>301</v>
      </c>
      <c r="AK10" s="170" t="s">
        <v>301</v>
      </c>
      <c r="AL10" s="170" t="s">
        <v>301</v>
      </c>
      <c r="AM10" s="170" t="s">
        <v>301</v>
      </c>
      <c r="AN10" s="170"/>
      <c r="AO10" s="170"/>
      <c r="AP10" s="170"/>
      <c r="AQ10" s="170"/>
      <c r="AR10" s="170"/>
      <c r="AS10" s="170" t="s">
        <v>301</v>
      </c>
      <c r="AT10" s="170" t="s">
        <v>301</v>
      </c>
      <c r="AU10" s="170" t="s">
        <v>301</v>
      </c>
      <c r="AV10" s="170" t="s">
        <v>301</v>
      </c>
      <c r="AW10" s="170" t="s">
        <v>301</v>
      </c>
      <c r="AX10" s="170" t="s">
        <v>301</v>
      </c>
      <c r="AY10" s="170" t="s">
        <v>301</v>
      </c>
      <c r="AZ10" s="170" t="s">
        <v>301</v>
      </c>
      <c r="BA10" s="170"/>
      <c r="BB10" s="170"/>
      <c r="BC10" s="170"/>
      <c r="BD10" s="170"/>
      <c r="BE10" s="170" t="s">
        <v>301</v>
      </c>
      <c r="BF10" s="170" t="s">
        <v>301</v>
      </c>
      <c r="BG10" s="170" t="s">
        <v>301</v>
      </c>
      <c r="BH10" s="170" t="s">
        <v>301</v>
      </c>
      <c r="BI10" s="170" t="s">
        <v>301</v>
      </c>
      <c r="BJ10" s="170" t="s">
        <v>301</v>
      </c>
      <c r="BK10" s="170" t="s">
        <v>301</v>
      </c>
      <c r="BL10" s="170" t="s">
        <v>301</v>
      </c>
      <c r="BM10" s="170" t="s">
        <v>301</v>
      </c>
      <c r="BN10" s="170" t="s">
        <v>301</v>
      </c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 t="s">
        <v>301</v>
      </c>
      <c r="CC10" s="55" t="s">
        <v>301</v>
      </c>
      <c r="CD10" s="55" t="s">
        <v>301</v>
      </c>
      <c r="CE10" s="55" t="s">
        <v>301</v>
      </c>
      <c r="CF10" s="55" t="s">
        <v>301</v>
      </c>
      <c r="CG10" s="55" t="s">
        <v>301</v>
      </c>
      <c r="CH10" s="55" t="s">
        <v>301</v>
      </c>
      <c r="CI10" s="55" t="s">
        <v>301</v>
      </c>
      <c r="CJ10" s="55" t="s">
        <v>301</v>
      </c>
      <c r="CK10" s="55" t="s">
        <v>301</v>
      </c>
      <c r="CL10" s="55" t="s">
        <v>301</v>
      </c>
      <c r="CM10" s="55" t="s">
        <v>301</v>
      </c>
      <c r="CN10" s="55" t="s">
        <v>301</v>
      </c>
      <c r="CO10" s="55" t="s">
        <v>301</v>
      </c>
      <c r="CP10" s="55" t="s">
        <v>301</v>
      </c>
      <c r="CQ10" s="55" t="s">
        <v>301</v>
      </c>
      <c r="CR10" s="55" t="s">
        <v>301</v>
      </c>
      <c r="CS10" s="55" t="s">
        <v>300</v>
      </c>
      <c r="CT10" s="299">
        <v>42417.480555555558</v>
      </c>
    </row>
    <row r="11" spans="1:98" s="55" customFormat="1" ht="12.5">
      <c r="A11" s="170"/>
      <c r="B11" s="30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30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CT11" s="299"/>
    </row>
    <row r="12" spans="1:98">
      <c r="A12" s="285"/>
      <c r="B12" s="298" t="s">
        <v>298</v>
      </c>
      <c r="C12" s="285"/>
      <c r="D12" s="285"/>
      <c r="E12" s="295"/>
      <c r="F12" s="29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6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</row>
    <row r="13" spans="1:98">
      <c r="A13" s="172" t="s">
        <v>236</v>
      </c>
      <c r="B13" s="289">
        <v>540746</v>
      </c>
      <c r="C13" s="297"/>
      <c r="D13" s="297"/>
      <c r="E13" s="296"/>
      <c r="F13" s="288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6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</row>
    <row r="14" spans="1:98">
      <c r="A14" s="295" t="s">
        <v>239</v>
      </c>
      <c r="B14" s="294">
        <v>0</v>
      </c>
      <c r="C14" s="293"/>
      <c r="D14" s="293"/>
      <c r="E14" s="292"/>
      <c r="F14" s="292"/>
      <c r="G14" s="291"/>
      <c r="H14" s="291"/>
      <c r="I14" s="285"/>
      <c r="J14" s="285"/>
      <c r="K14" s="285"/>
      <c r="L14" s="285"/>
      <c r="M14" s="285"/>
      <c r="N14" s="285"/>
      <c r="O14" s="285"/>
      <c r="P14" s="285"/>
      <c r="Q14" s="286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</row>
    <row r="15" spans="1:98">
      <c r="A15" s="295" t="s">
        <v>241</v>
      </c>
      <c r="B15" s="294">
        <v>0</v>
      </c>
      <c r="C15" s="293"/>
      <c r="D15" s="293"/>
      <c r="E15" s="292"/>
      <c r="F15" s="292"/>
      <c r="G15" s="291"/>
      <c r="H15" s="291"/>
      <c r="I15" s="285"/>
      <c r="J15" s="285"/>
      <c r="K15" s="285"/>
      <c r="L15" s="285"/>
      <c r="M15" s="285"/>
      <c r="N15" s="285"/>
      <c r="O15" s="285"/>
      <c r="P15" s="285"/>
      <c r="Q15" s="286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</row>
    <row r="16" spans="1:98">
      <c r="A16" s="295" t="s">
        <v>272</v>
      </c>
      <c r="B16" s="294">
        <v>540744.65</v>
      </c>
      <c r="C16" s="293"/>
      <c r="D16" s="293"/>
      <c r="E16" s="292"/>
      <c r="F16" s="292"/>
      <c r="G16" s="291"/>
      <c r="H16" s="291"/>
      <c r="I16" s="285"/>
      <c r="J16" s="285"/>
      <c r="K16" s="285"/>
      <c r="L16" s="285"/>
      <c r="M16" s="285"/>
      <c r="N16" s="285"/>
      <c r="O16" s="285"/>
      <c r="P16" s="285"/>
      <c r="Q16" s="286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</row>
    <row r="17" spans="1:77">
      <c r="A17" s="295" t="s">
        <v>296</v>
      </c>
      <c r="B17" s="294"/>
      <c r="C17" s="293"/>
      <c r="D17" s="293"/>
      <c r="E17" s="292"/>
      <c r="F17" s="292"/>
      <c r="G17" s="291"/>
      <c r="H17" s="291"/>
      <c r="I17" s="285"/>
      <c r="J17" s="285"/>
      <c r="K17" s="285"/>
      <c r="L17" s="285"/>
      <c r="M17" s="285"/>
      <c r="N17" s="285"/>
      <c r="O17" s="285"/>
      <c r="P17" s="285"/>
      <c r="Q17" s="286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</row>
    <row r="18" spans="1:77">
      <c r="A18" s="290" t="s">
        <v>297</v>
      </c>
      <c r="B18" s="289">
        <f>+B13-B14-B15-B16</f>
        <v>1.3499999999767169</v>
      </c>
      <c r="C18" s="173"/>
      <c r="D18" s="287"/>
      <c r="E18" s="288"/>
      <c r="F18" s="288"/>
      <c r="G18" s="287"/>
      <c r="H18" s="287"/>
      <c r="I18" s="285"/>
      <c r="J18" s="285"/>
      <c r="K18" s="285"/>
      <c r="L18" s="285"/>
      <c r="M18" s="285"/>
      <c r="N18" s="285"/>
      <c r="O18" s="285"/>
      <c r="P18" s="285"/>
      <c r="Q18" s="286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</row>
    <row r="19" spans="1:77">
      <c r="A19" s="40"/>
      <c r="B19" s="41"/>
      <c r="C19" s="40"/>
      <c r="D19" s="284"/>
      <c r="E19" s="284"/>
      <c r="F19" s="284"/>
      <c r="G19" s="284"/>
      <c r="H19" s="284"/>
    </row>
    <row r="20" spans="1:77">
      <c r="A20" s="40"/>
      <c r="B20" s="41"/>
      <c r="C20" s="40"/>
      <c r="D20" s="283"/>
      <c r="E20" s="283"/>
      <c r="F20" s="283"/>
      <c r="G20" s="283"/>
      <c r="H20" s="283"/>
    </row>
    <row r="21" spans="1:77" ht="14.5">
      <c r="A21" s="307" t="s">
        <v>439</v>
      </c>
      <c r="B21" s="308">
        <f>AP7</f>
        <v>3238</v>
      </c>
      <c r="C21" s="308"/>
      <c r="D21" s="309"/>
      <c r="E21" s="283"/>
      <c r="F21" s="283"/>
      <c r="G21" s="283"/>
      <c r="H21" s="283"/>
    </row>
    <row r="22" spans="1:77" ht="14.5">
      <c r="A22" s="307" t="s">
        <v>440</v>
      </c>
      <c r="B22" s="308">
        <f>+B21*0.2</f>
        <v>647.6</v>
      </c>
      <c r="C22" s="308"/>
      <c r="E22" s="283"/>
      <c r="F22" s="283"/>
      <c r="G22" s="283"/>
      <c r="H22" s="283"/>
      <c r="L22" s="310"/>
    </row>
    <row r="23" spans="1:77" ht="14.5">
      <c r="A23" s="307" t="s">
        <v>441</v>
      </c>
      <c r="B23" s="311">
        <f>+B22*630</f>
        <v>407988</v>
      </c>
      <c r="C23" s="308"/>
      <c r="E23" s="42"/>
      <c r="F23" s="42"/>
      <c r="G23" s="42"/>
      <c r="H23" s="42"/>
      <c r="L23" s="311"/>
    </row>
    <row r="24" spans="1:77" ht="14.5">
      <c r="A24" s="307" t="s">
        <v>442</v>
      </c>
      <c r="B24" s="312">
        <f>+B23*AP8</f>
        <v>244792.8</v>
      </c>
      <c r="C24" s="308"/>
      <c r="L24" s="31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F445-B661-46C1-A194-51583C83473E}">
  <dimension ref="A1:N8"/>
  <sheetViews>
    <sheetView topLeftCell="A3" workbookViewId="0">
      <selection activeCell="A5" sqref="A5:N5"/>
    </sheetView>
  </sheetViews>
  <sheetFormatPr defaultRowHeight="12.5"/>
  <cols>
    <col min="1" max="1" width="22.81640625" style="55" customWidth="1"/>
    <col min="2" max="2" width="12.26953125" style="55" bestFit="1" customWidth="1"/>
    <col min="3" max="3" width="12.453125" style="55" bestFit="1" customWidth="1"/>
    <col min="4" max="16384" width="8.7265625" style="55"/>
  </cols>
  <sheetData>
    <row r="1" spans="1:14" ht="15.5">
      <c r="A1" s="274" t="s">
        <v>25</v>
      </c>
      <c r="B1" s="274">
        <v>143036797</v>
      </c>
    </row>
    <row r="2" spans="1:14" ht="37.5" customHeight="1">
      <c r="A2" s="275" t="s">
        <v>273</v>
      </c>
    </row>
    <row r="3" spans="1:14" ht="181" customHeight="1">
      <c r="A3" s="276" t="s">
        <v>274</v>
      </c>
    </row>
    <row r="5" spans="1:14">
      <c r="A5" s="277"/>
      <c r="B5" s="278"/>
      <c r="C5" s="278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7" spans="1:14" ht="37.5" customHeight="1">
      <c r="A7" s="275" t="s">
        <v>275</v>
      </c>
      <c r="B7" s="279" t="s">
        <v>276</v>
      </c>
    </row>
    <row r="8" spans="1:14">
      <c r="C8" s="6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BAD8-37EE-4C6E-A62F-64D6FC06D720}">
  <dimension ref="A14:G18"/>
  <sheetViews>
    <sheetView workbookViewId="0">
      <selection activeCell="F17" sqref="F17"/>
    </sheetView>
  </sheetViews>
  <sheetFormatPr defaultRowHeight="12.5"/>
  <cols>
    <col min="1" max="1" width="14.81640625" customWidth="1"/>
    <col min="4" max="4" width="10.1796875" bestFit="1" customWidth="1"/>
    <col min="5" max="5" width="10.1796875" customWidth="1"/>
    <col min="6" max="6" width="13.54296875" customWidth="1"/>
  </cols>
  <sheetData>
    <row r="14" spans="1:7">
      <c r="A14" t="s">
        <v>282</v>
      </c>
      <c r="B14" t="s">
        <v>283</v>
      </c>
      <c r="C14" t="s">
        <v>284</v>
      </c>
      <c r="D14" t="s">
        <v>285</v>
      </c>
      <c r="E14" t="s">
        <v>42</v>
      </c>
      <c r="F14" t="s">
        <v>288</v>
      </c>
      <c r="G14" t="s">
        <v>185</v>
      </c>
    </row>
    <row r="15" spans="1:7">
      <c r="A15">
        <v>1</v>
      </c>
      <c r="B15" s="236"/>
      <c r="C15" s="236">
        <v>212</v>
      </c>
      <c r="D15" s="236">
        <v>212</v>
      </c>
      <c r="E15" s="236">
        <v>28</v>
      </c>
      <c r="F15" s="11">
        <f>+D15*E15</f>
        <v>5936</v>
      </c>
      <c r="G15" t="s">
        <v>286</v>
      </c>
    </row>
    <row r="16" spans="1:7">
      <c r="A16">
        <v>2</v>
      </c>
      <c r="B16" s="236">
        <v>29.95</v>
      </c>
      <c r="C16" s="236">
        <v>0</v>
      </c>
      <c r="D16" s="236">
        <f>+B16*12</f>
        <v>359.4</v>
      </c>
      <c r="E16" s="236">
        <v>28</v>
      </c>
      <c r="F16" s="11">
        <f>+D16*E16</f>
        <v>10063.199999999999</v>
      </c>
      <c r="G16" t="s">
        <v>287</v>
      </c>
    </row>
    <row r="17" spans="2:6">
      <c r="B17" s="236"/>
      <c r="C17" s="236"/>
      <c r="D17" s="236"/>
      <c r="E17" s="236"/>
      <c r="F17" s="11">
        <f>SUM(F15:F16)</f>
        <v>15999.199999999999</v>
      </c>
    </row>
    <row r="18" spans="2:6">
      <c r="B18" s="236"/>
      <c r="C18" s="236"/>
      <c r="D18" s="236"/>
      <c r="E18" s="23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75E2-0A60-4CB3-8DB2-073A68207F02}">
  <dimension ref="A2:E30"/>
  <sheetViews>
    <sheetView workbookViewId="0">
      <selection activeCell="A11" sqref="A11"/>
    </sheetView>
  </sheetViews>
  <sheetFormatPr defaultRowHeight="12.5"/>
  <cols>
    <col min="1" max="1" width="63" customWidth="1"/>
    <col min="2" max="2" width="17.6328125" customWidth="1"/>
    <col min="4" max="4" width="15.26953125" customWidth="1"/>
  </cols>
  <sheetData>
    <row r="2" spans="1:5" ht="20.5">
      <c r="A2" s="238" t="s">
        <v>244</v>
      </c>
      <c r="B2" s="239"/>
      <c r="C2" s="239"/>
      <c r="D2" s="239"/>
      <c r="E2" s="239"/>
    </row>
    <row r="3" spans="1:5" ht="13">
      <c r="A3" s="240" t="s">
        <v>245</v>
      </c>
      <c r="B3" s="241" t="s">
        <v>246</v>
      </c>
      <c r="C3" s="242" t="s">
        <v>247</v>
      </c>
      <c r="D3" s="241" t="s">
        <v>248</v>
      </c>
      <c r="E3" s="239"/>
    </row>
    <row r="4" spans="1:5" ht="25" customHeight="1">
      <c r="A4" s="243" t="s">
        <v>249</v>
      </c>
      <c r="B4" s="244">
        <v>3630.39</v>
      </c>
      <c r="C4" s="245">
        <v>21</v>
      </c>
      <c r="D4" s="244">
        <v>76238.19</v>
      </c>
      <c r="E4" s="239"/>
    </row>
    <row r="5" spans="1:5" ht="25" customHeight="1">
      <c r="A5" s="246" t="s">
        <v>250</v>
      </c>
      <c r="B5" s="247">
        <v>638.44000000000005</v>
      </c>
      <c r="C5" s="248">
        <v>21</v>
      </c>
      <c r="D5" s="249">
        <v>13407.24</v>
      </c>
      <c r="E5" s="239"/>
    </row>
    <row r="6" spans="1:5" ht="25" customHeight="1">
      <c r="A6" s="243" t="s">
        <v>251</v>
      </c>
      <c r="B6" s="244">
        <v>2687.69</v>
      </c>
      <c r="C6" s="250">
        <v>2</v>
      </c>
      <c r="D6" s="244">
        <v>5375.38</v>
      </c>
      <c r="E6" s="239"/>
    </row>
    <row r="7" spans="1:5" ht="25" customHeight="1">
      <c r="A7" s="246" t="s">
        <v>252</v>
      </c>
      <c r="B7" s="247">
        <v>399.02</v>
      </c>
      <c r="C7" s="251">
        <v>2</v>
      </c>
      <c r="D7" s="247">
        <v>798.04</v>
      </c>
      <c r="E7" s="239"/>
    </row>
    <row r="8" spans="1:5" ht="25" customHeight="1">
      <c r="A8" s="252" t="s">
        <v>253</v>
      </c>
      <c r="B8" s="253">
        <v>159.79</v>
      </c>
      <c r="C8" s="254">
        <v>21</v>
      </c>
      <c r="D8" s="255">
        <v>3355.59</v>
      </c>
      <c r="E8" s="239"/>
    </row>
    <row r="9" spans="1:5" ht="25" customHeight="1">
      <c r="A9" s="314" t="s">
        <v>254</v>
      </c>
      <c r="B9" s="315"/>
      <c r="C9" s="315"/>
      <c r="D9" s="316"/>
      <c r="E9" s="239"/>
    </row>
    <row r="10" spans="1:5" ht="25" customHeight="1">
      <c r="A10" s="256" t="s">
        <v>255</v>
      </c>
      <c r="B10" s="257">
        <v>13560.79</v>
      </c>
      <c r="C10" s="258">
        <v>1</v>
      </c>
      <c r="D10" s="257">
        <v>13560.79</v>
      </c>
      <c r="E10" s="239"/>
    </row>
    <row r="11" spans="1:5" ht="25" customHeight="1">
      <c r="A11" s="246" t="s">
        <v>256</v>
      </c>
      <c r="B11" s="249">
        <v>27121.59</v>
      </c>
      <c r="C11" s="251">
        <v>1</v>
      </c>
      <c r="D11" s="249">
        <v>27121.59</v>
      </c>
      <c r="E11" s="239"/>
    </row>
    <row r="12" spans="1:5">
      <c r="A12" s="239"/>
      <c r="B12" s="239"/>
      <c r="C12" s="239"/>
      <c r="D12" s="239"/>
      <c r="E12" s="239"/>
    </row>
    <row r="13" spans="1:5">
      <c r="A13" s="239"/>
      <c r="B13" s="239"/>
      <c r="C13" s="239"/>
      <c r="D13" s="259">
        <f>+D4+D5+D6+D7+D8+D10+D11</f>
        <v>139856.82</v>
      </c>
      <c r="E13" s="239"/>
    </row>
    <row r="14" spans="1:5">
      <c r="A14" s="239"/>
      <c r="B14" s="239"/>
      <c r="C14" s="239"/>
      <c r="D14" s="239"/>
      <c r="E14" s="239"/>
    </row>
    <row r="15" spans="1:5" ht="20.5">
      <c r="A15" s="238" t="s">
        <v>257</v>
      </c>
      <c r="B15" s="239"/>
      <c r="C15" s="239"/>
      <c r="D15" s="239"/>
      <c r="E15" s="239"/>
    </row>
    <row r="16" spans="1:5" ht="13">
      <c r="A16" s="260" t="s">
        <v>258</v>
      </c>
      <c r="B16" s="239"/>
      <c r="C16" s="239"/>
      <c r="D16" s="239"/>
      <c r="E16" s="239"/>
    </row>
    <row r="17" spans="1:5">
      <c r="A17" s="262" t="s">
        <v>263</v>
      </c>
      <c r="B17" s="263">
        <v>435568.62</v>
      </c>
      <c r="C17" s="239"/>
      <c r="D17" s="239"/>
      <c r="E17" s="239"/>
    </row>
    <row r="19" spans="1:5">
      <c r="A19" s="109" t="s">
        <v>259</v>
      </c>
      <c r="B19" s="236">
        <v>79100</v>
      </c>
    </row>
    <row r="20" spans="1:5">
      <c r="A20" s="109" t="s">
        <v>260</v>
      </c>
      <c r="B20" s="236">
        <v>120000</v>
      </c>
    </row>
    <row r="21" spans="1:5">
      <c r="A21" s="109" t="s">
        <v>261</v>
      </c>
      <c r="B21" s="236">
        <v>78373</v>
      </c>
    </row>
    <row r="22" spans="1:5">
      <c r="A22" s="109" t="s">
        <v>262</v>
      </c>
      <c r="B22" s="236">
        <v>12600</v>
      </c>
    </row>
    <row r="23" spans="1:5">
      <c r="B23" s="236"/>
    </row>
    <row r="24" spans="1:5">
      <c r="A24" s="109" t="s">
        <v>264</v>
      </c>
      <c r="B24" s="236">
        <f>SUM(B19:B23)</f>
        <v>290073</v>
      </c>
    </row>
    <row r="25" spans="1:5">
      <c r="A25" s="109" t="s">
        <v>265</v>
      </c>
      <c r="B25" s="236">
        <f>+B17-B24</f>
        <v>145495.62</v>
      </c>
    </row>
    <row r="26" spans="1:5">
      <c r="B26" s="236"/>
    </row>
    <row r="27" spans="1:5">
      <c r="A27" s="109" t="s">
        <v>266</v>
      </c>
      <c r="B27" s="236"/>
    </row>
    <row r="28" spans="1:5">
      <c r="A28" s="109" t="s">
        <v>267</v>
      </c>
      <c r="B28" s="236">
        <v>5000</v>
      </c>
    </row>
    <row r="30" spans="1:5">
      <c r="A30" s="109" t="s">
        <v>268</v>
      </c>
      <c r="B30" s="11">
        <f>+B17-B28</f>
        <v>430568.62</v>
      </c>
    </row>
  </sheetData>
  <mergeCells count="1">
    <mergeCell ref="A9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2A36-58F3-459F-B6AC-C63C208B6404}">
  <sheetPr>
    <pageSetUpPr fitToPage="1"/>
  </sheetPr>
  <dimension ref="A1:Q232"/>
  <sheetViews>
    <sheetView topLeftCell="A34" workbookViewId="0">
      <selection activeCell="E5" sqref="E5"/>
    </sheetView>
  </sheetViews>
  <sheetFormatPr defaultRowHeight="12.5"/>
  <cols>
    <col min="2" max="2" width="36.453125" customWidth="1"/>
    <col min="4" max="4" width="12.81640625" customWidth="1"/>
    <col min="5" max="15" width="12.54296875" customWidth="1"/>
    <col min="17" max="17" width="14.453125" customWidth="1"/>
  </cols>
  <sheetData>
    <row r="1" spans="1:12" s="112" customFormat="1" ht="19.149999999999999" customHeight="1">
      <c r="A1" s="191"/>
      <c r="B1" s="204" t="s">
        <v>197</v>
      </c>
      <c r="C1" s="192"/>
      <c r="D1" s="192"/>
      <c r="E1" s="192"/>
      <c r="F1" s="192"/>
      <c r="G1" s="192"/>
      <c r="H1" s="111"/>
    </row>
    <row r="2" spans="1:12" s="112" customFormat="1" ht="23.15" customHeight="1">
      <c r="A2" s="193" t="s">
        <v>1</v>
      </c>
      <c r="B2" s="193"/>
      <c r="C2" s="194" t="s">
        <v>117</v>
      </c>
      <c r="D2" s="194" t="s">
        <v>118</v>
      </c>
      <c r="E2" s="195" t="s">
        <v>119</v>
      </c>
      <c r="F2" s="195" t="s">
        <v>191</v>
      </c>
      <c r="G2" s="195" t="s">
        <v>121</v>
      </c>
      <c r="H2" s="111"/>
    </row>
    <row r="3" spans="1:12" s="112" customFormat="1" ht="55.5" customHeight="1">
      <c r="A3" s="196" t="s">
        <v>124</v>
      </c>
      <c r="B3" s="196" t="s">
        <v>192</v>
      </c>
      <c r="C3" s="196">
        <v>59</v>
      </c>
      <c r="D3" s="197">
        <v>400.33</v>
      </c>
      <c r="E3" s="198">
        <f>+C3*D3</f>
        <v>23619.469999999998</v>
      </c>
      <c r="F3" s="199">
        <v>0</v>
      </c>
      <c r="G3" s="198">
        <f>+E3+F3</f>
        <v>23619.469999999998</v>
      </c>
      <c r="H3" s="111" t="s">
        <v>193</v>
      </c>
    </row>
    <row r="4" spans="1:12" s="112" customFormat="1" ht="55.5" customHeight="1">
      <c r="A4" s="196" t="s">
        <v>201</v>
      </c>
      <c r="B4" s="196" t="s">
        <v>203</v>
      </c>
      <c r="C4" s="196">
        <v>59</v>
      </c>
      <c r="D4" s="197">
        <v>52.15</v>
      </c>
      <c r="E4" s="198">
        <f>+C4*D4</f>
        <v>3076.85</v>
      </c>
      <c r="F4" s="199">
        <v>0</v>
      </c>
      <c r="G4" s="198">
        <f>+E4+F4</f>
        <v>3076.85</v>
      </c>
      <c r="H4" s="111" t="s">
        <v>193</v>
      </c>
    </row>
    <row r="5" spans="1:12" s="112" customFormat="1" ht="42.65" customHeight="1">
      <c r="A5" s="196" t="s">
        <v>125</v>
      </c>
      <c r="B5" s="196" t="s">
        <v>194</v>
      </c>
      <c r="C5" s="196">
        <v>2</v>
      </c>
      <c r="D5" s="197">
        <v>3038.9</v>
      </c>
      <c r="E5" s="198">
        <f>3038.9*2</f>
        <v>6077.8</v>
      </c>
      <c r="F5" s="199">
        <v>0</v>
      </c>
      <c r="G5" s="198">
        <f t="shared" ref="G5" si="0">+E5+F5</f>
        <v>6077.8</v>
      </c>
      <c r="H5" s="111" t="s">
        <v>195</v>
      </c>
    </row>
    <row r="6" spans="1:12" s="112" customFormat="1" ht="11.65" customHeight="1">
      <c r="A6" s="323"/>
      <c r="B6" s="324"/>
      <c r="C6" s="200"/>
      <c r="D6" s="201"/>
      <c r="E6" s="202"/>
      <c r="F6" s="202"/>
      <c r="G6" s="202"/>
      <c r="H6" s="111"/>
    </row>
    <row r="7" spans="1:12" s="112" customFormat="1" ht="22.5" customHeight="1">
      <c r="A7" s="325" t="s">
        <v>196</v>
      </c>
      <c r="B7" s="325"/>
      <c r="C7" s="325"/>
      <c r="D7" s="325"/>
      <c r="E7" s="203">
        <f>SUM(E3:E5)</f>
        <v>32774.119999999995</v>
      </c>
      <c r="F7" s="199">
        <v>3076.85</v>
      </c>
      <c r="G7" s="206">
        <f>SUM(G3:G5)</f>
        <v>32774.119999999995</v>
      </c>
      <c r="H7" s="111"/>
    </row>
    <row r="8" spans="1:12" s="112" customFormat="1" ht="19.149999999999999" customHeight="1">
      <c r="A8" s="191"/>
      <c r="B8" s="204" t="s">
        <v>200</v>
      </c>
      <c r="C8" s="192"/>
      <c r="D8" s="192"/>
      <c r="E8" s="192"/>
      <c r="F8" s="192"/>
      <c r="G8" s="192"/>
      <c r="H8" s="111"/>
    </row>
    <row r="9" spans="1:12" s="112" customFormat="1" ht="23.15" customHeight="1">
      <c r="A9" s="193" t="s">
        <v>1</v>
      </c>
      <c r="B9" s="193"/>
      <c r="C9" s="194" t="s">
        <v>117</v>
      </c>
      <c r="D9" s="194" t="s">
        <v>118</v>
      </c>
      <c r="E9" s="195" t="s">
        <v>119</v>
      </c>
      <c r="F9" s="195" t="s">
        <v>191</v>
      </c>
      <c r="G9" s="195" t="s">
        <v>121</v>
      </c>
      <c r="H9" s="111"/>
    </row>
    <row r="10" spans="1:12" s="112" customFormat="1" ht="55.5" customHeight="1">
      <c r="A10" s="196" t="s">
        <v>181</v>
      </c>
      <c r="B10" s="196" t="s">
        <v>212</v>
      </c>
      <c r="C10" s="196">
        <v>1</v>
      </c>
      <c r="D10" s="197">
        <v>8317.92</v>
      </c>
      <c r="E10" s="198">
        <f>+C10*D10</f>
        <v>8317.92</v>
      </c>
      <c r="F10" s="199">
        <v>0</v>
      </c>
      <c r="G10" s="198">
        <f>+E10+F10</f>
        <v>8317.92</v>
      </c>
      <c r="H10" s="111"/>
    </row>
    <row r="11" spans="1:12" s="112" customFormat="1" ht="55.5" customHeight="1">
      <c r="A11" s="196" t="s">
        <v>201</v>
      </c>
      <c r="B11" s="196" t="s">
        <v>213</v>
      </c>
      <c r="C11" s="196">
        <v>1</v>
      </c>
      <c r="D11" s="197">
        <v>16640</v>
      </c>
      <c r="E11" s="198">
        <f>+C11*D11</f>
        <v>16640</v>
      </c>
      <c r="F11" s="199">
        <v>0</v>
      </c>
      <c r="G11" s="198">
        <f>+E11+F11</f>
        <v>16640</v>
      </c>
      <c r="H11" s="111"/>
    </row>
    <row r="12" spans="1:12" s="112" customFormat="1" ht="11.65" customHeight="1">
      <c r="A12" s="323"/>
      <c r="B12" s="324"/>
      <c r="C12" s="200"/>
      <c r="D12" s="201"/>
      <c r="E12" s="202"/>
      <c r="F12" s="202"/>
      <c r="G12" s="202"/>
      <c r="H12" s="111"/>
    </row>
    <row r="13" spans="1:12" s="112" customFormat="1" ht="22.5" customHeight="1">
      <c r="A13" s="325" t="s">
        <v>196</v>
      </c>
      <c r="B13" s="325"/>
      <c r="C13" s="325"/>
      <c r="D13" s="325"/>
      <c r="E13" s="203">
        <f>SUM(E10:E11)</f>
        <v>24957.919999999998</v>
      </c>
      <c r="F13" s="203">
        <f>SUM(F10:F11)</f>
        <v>0</v>
      </c>
      <c r="G13" s="209">
        <f>SUM(G10:G11)</f>
        <v>24957.919999999998</v>
      </c>
      <c r="H13" s="111"/>
    </row>
    <row r="14" spans="1:12" s="112" customFormat="1" ht="26">
      <c r="A14" s="193" t="s">
        <v>1</v>
      </c>
      <c r="B14" s="193" t="s">
        <v>116</v>
      </c>
      <c r="C14" s="194" t="s">
        <v>117</v>
      </c>
      <c r="D14" s="194" t="s">
        <v>118</v>
      </c>
      <c r="E14" s="195" t="s">
        <v>119</v>
      </c>
      <c r="F14" s="195" t="s">
        <v>120</v>
      </c>
      <c r="G14" s="195" t="s">
        <v>121</v>
      </c>
      <c r="H14" s="111" t="s">
        <v>231</v>
      </c>
      <c r="I14" s="212" t="s">
        <v>232</v>
      </c>
      <c r="J14" s="212" t="s">
        <v>233</v>
      </c>
      <c r="K14" s="212" t="s">
        <v>234</v>
      </c>
      <c r="L14" s="212" t="s">
        <v>188</v>
      </c>
    </row>
    <row r="15" spans="1:12" s="112" customFormat="1" ht="30" customHeight="1">
      <c r="A15" s="196" t="s">
        <v>224</v>
      </c>
      <c r="B15" s="196" t="s">
        <v>225</v>
      </c>
      <c r="C15" s="196">
        <v>4</v>
      </c>
      <c r="D15" s="197">
        <v>226.11</v>
      </c>
      <c r="E15" s="198">
        <f t="shared" ref="E15:E20" si="1">+D15*C15</f>
        <v>904.44</v>
      </c>
      <c r="F15" s="199">
        <v>0</v>
      </c>
      <c r="G15" s="198">
        <f>+E15+F15</f>
        <v>904.44</v>
      </c>
      <c r="H15" s="111"/>
      <c r="I15" s="212"/>
      <c r="J15" s="111"/>
      <c r="K15" s="212">
        <v>4</v>
      </c>
      <c r="L15" s="212">
        <f>SUM(H15:K15)</f>
        <v>4</v>
      </c>
    </row>
    <row r="16" spans="1:12" s="112" customFormat="1" ht="30" customHeight="1">
      <c r="A16" s="196" t="s">
        <v>224</v>
      </c>
      <c r="B16" s="2" t="s">
        <v>226</v>
      </c>
      <c r="C16" s="196">
        <v>16</v>
      </c>
      <c r="D16" s="197">
        <v>266.25</v>
      </c>
      <c r="E16" s="198">
        <f t="shared" si="1"/>
        <v>4260</v>
      </c>
      <c r="F16" s="199">
        <v>0</v>
      </c>
      <c r="G16" s="198">
        <f t="shared" ref="G16" si="2">+E16+F16</f>
        <v>4260</v>
      </c>
      <c r="H16" s="111">
        <v>2</v>
      </c>
      <c r="I16" s="212">
        <v>5</v>
      </c>
      <c r="J16" s="111">
        <v>4</v>
      </c>
      <c r="K16" s="212">
        <v>5</v>
      </c>
      <c r="L16" s="212">
        <f t="shared" ref="L16:L20" si="3">SUM(H16:K16)</f>
        <v>16</v>
      </c>
    </row>
    <row r="17" spans="1:12" s="112" customFormat="1" ht="30" customHeight="1">
      <c r="A17" s="196" t="s">
        <v>224</v>
      </c>
      <c r="B17" s="196" t="s">
        <v>227</v>
      </c>
      <c r="C17" s="196">
        <v>14</v>
      </c>
      <c r="D17" s="197">
        <v>361.35</v>
      </c>
      <c r="E17" s="198">
        <f t="shared" si="1"/>
        <v>5058.9000000000005</v>
      </c>
      <c r="F17" s="199">
        <v>0</v>
      </c>
      <c r="G17" s="198">
        <f>+E17+F17</f>
        <v>5058.9000000000005</v>
      </c>
      <c r="H17" s="111">
        <v>2</v>
      </c>
      <c r="I17" s="212">
        <v>7</v>
      </c>
      <c r="J17" s="111">
        <v>3</v>
      </c>
      <c r="K17" s="212">
        <v>2</v>
      </c>
      <c r="L17" s="212">
        <f t="shared" si="3"/>
        <v>14</v>
      </c>
    </row>
    <row r="18" spans="1:12" s="112" customFormat="1" ht="30" customHeight="1">
      <c r="A18" s="196" t="s">
        <v>224</v>
      </c>
      <c r="B18" s="196" t="s">
        <v>228</v>
      </c>
      <c r="C18" s="196">
        <v>1</v>
      </c>
      <c r="D18" s="197">
        <v>388.82</v>
      </c>
      <c r="E18" s="198">
        <f t="shared" si="1"/>
        <v>388.82</v>
      </c>
      <c r="F18" s="199">
        <v>0</v>
      </c>
      <c r="G18" s="198">
        <f>+E18+F18</f>
        <v>388.82</v>
      </c>
      <c r="H18" s="111">
        <v>1</v>
      </c>
      <c r="I18" s="212"/>
      <c r="J18" s="111"/>
      <c r="K18" s="212"/>
      <c r="L18" s="212">
        <f t="shared" si="3"/>
        <v>1</v>
      </c>
    </row>
    <row r="19" spans="1:12" s="112" customFormat="1" ht="30" customHeight="1">
      <c r="A19" s="196" t="s">
        <v>224</v>
      </c>
      <c r="B19" s="196" t="s">
        <v>229</v>
      </c>
      <c r="C19" s="196">
        <v>1</v>
      </c>
      <c r="D19" s="197">
        <v>697.33</v>
      </c>
      <c r="E19" s="198">
        <f t="shared" si="1"/>
        <v>697.33</v>
      </c>
      <c r="F19" s="199">
        <v>0</v>
      </c>
      <c r="G19" s="198">
        <f>+E19+F19</f>
        <v>697.33</v>
      </c>
      <c r="H19" s="122"/>
      <c r="I19" s="213"/>
      <c r="J19" s="111"/>
      <c r="K19" s="212">
        <v>1</v>
      </c>
      <c r="L19" s="212">
        <f t="shared" si="3"/>
        <v>1</v>
      </c>
    </row>
    <row r="20" spans="1:12" s="112" customFormat="1" ht="30" customHeight="1">
      <c r="A20" s="196" t="s">
        <v>224</v>
      </c>
      <c r="B20" s="196" t="s">
        <v>230</v>
      </c>
      <c r="C20" s="196">
        <v>3</v>
      </c>
      <c r="D20" s="197">
        <v>1094.5899999999999</v>
      </c>
      <c r="E20" s="198">
        <f t="shared" si="1"/>
        <v>3283.7699999999995</v>
      </c>
      <c r="F20" s="199">
        <v>0</v>
      </c>
      <c r="G20" s="198">
        <f>+E20+F20</f>
        <v>3283.7699999999995</v>
      </c>
      <c r="H20" s="111"/>
      <c r="I20" s="212">
        <v>1</v>
      </c>
      <c r="J20" s="111">
        <v>2</v>
      </c>
      <c r="K20" s="212"/>
      <c r="L20" s="212">
        <f t="shared" si="3"/>
        <v>3</v>
      </c>
    </row>
    <row r="21" spans="1:12" s="112" customFormat="1" ht="11.5" customHeight="1">
      <c r="A21" s="323"/>
      <c r="B21" s="324"/>
      <c r="C21" s="200"/>
      <c r="D21" s="201"/>
      <c r="E21" s="202"/>
      <c r="F21" s="202"/>
      <c r="G21" s="202"/>
      <c r="H21" s="111"/>
      <c r="I21" s="212"/>
      <c r="J21" s="212"/>
      <c r="K21" s="212"/>
      <c r="L21" s="212"/>
    </row>
    <row r="22" spans="1:12" s="112" customFormat="1" ht="40" customHeight="1">
      <c r="A22" s="325" t="s">
        <v>196</v>
      </c>
      <c r="B22" s="325"/>
      <c r="C22" s="325"/>
      <c r="D22" s="325"/>
      <c r="E22" s="203">
        <f>SUM(E15:E20)</f>
        <v>14593.259999999998</v>
      </c>
      <c r="F22" s="199">
        <v>0</v>
      </c>
      <c r="G22" s="203">
        <f>SUM(G15:G20)</f>
        <v>14593.259999999998</v>
      </c>
      <c r="H22" s="111"/>
      <c r="I22" s="212"/>
      <c r="J22" s="212"/>
      <c r="K22" s="212"/>
      <c r="L22" s="212">
        <f>SUM(L15:L21)</f>
        <v>39</v>
      </c>
    </row>
    <row r="23" spans="1:12" ht="33.75" customHeight="1">
      <c r="B23" s="322" t="s">
        <v>182</v>
      </c>
      <c r="C23" s="322"/>
      <c r="D23" s="322"/>
      <c r="E23" s="322"/>
      <c r="F23" s="322"/>
      <c r="G23" s="322"/>
      <c r="H23" s="322"/>
      <c r="I23" s="322"/>
      <c r="J23" s="178"/>
      <c r="K23" s="109" t="s">
        <v>210</v>
      </c>
    </row>
    <row r="24" spans="1:12">
      <c r="A24" s="180" t="s">
        <v>184</v>
      </c>
      <c r="B24" s="179" t="s">
        <v>183</v>
      </c>
      <c r="C24" s="180"/>
      <c r="D24" s="181" t="s">
        <v>185</v>
      </c>
      <c r="E24" s="181" t="s">
        <v>186</v>
      </c>
      <c r="F24" s="179" t="s">
        <v>187</v>
      </c>
      <c r="G24" s="179" t="s">
        <v>45</v>
      </c>
      <c r="H24" s="182" t="s">
        <v>42</v>
      </c>
      <c r="I24" s="182" t="s">
        <v>188</v>
      </c>
      <c r="J24" s="182"/>
    </row>
    <row r="25" spans="1:12">
      <c r="A25" s="171"/>
      <c r="B25" s="172" t="s">
        <v>205</v>
      </c>
      <c r="C25" s="173"/>
      <c r="D25" s="183" t="s">
        <v>206</v>
      </c>
      <c r="E25" s="184" t="s">
        <v>51</v>
      </c>
      <c r="F25" s="185" t="s">
        <v>56</v>
      </c>
      <c r="G25" s="123">
        <v>400.33</v>
      </c>
      <c r="H25" s="26">
        <v>59</v>
      </c>
      <c r="I25" s="186">
        <f>+G25*H25</f>
        <v>23619.469999999998</v>
      </c>
      <c r="J25" s="186"/>
    </row>
    <row r="26" spans="1:12">
      <c r="A26" s="171"/>
      <c r="B26" s="172"/>
      <c r="C26" s="173"/>
      <c r="D26" s="183" t="s">
        <v>217</v>
      </c>
      <c r="E26" s="184" t="s">
        <v>51</v>
      </c>
      <c r="F26" s="185" t="s">
        <v>207</v>
      </c>
      <c r="G26" s="123">
        <v>52.15</v>
      </c>
      <c r="H26" s="26">
        <v>59</v>
      </c>
      <c r="I26" s="186">
        <f t="shared" ref="I26:I33" si="4">+G26*H26</f>
        <v>3076.85</v>
      </c>
      <c r="J26" s="186"/>
    </row>
    <row r="27" spans="1:12">
      <c r="A27" s="171"/>
      <c r="B27" s="172"/>
      <c r="C27" s="173"/>
      <c r="D27" s="183" t="s">
        <v>208</v>
      </c>
      <c r="E27" s="184" t="s">
        <v>51</v>
      </c>
      <c r="F27" s="185" t="s">
        <v>209</v>
      </c>
      <c r="G27" s="123">
        <v>3038.9</v>
      </c>
      <c r="H27" s="26">
        <v>2</v>
      </c>
      <c r="I27" s="186">
        <f t="shared" si="4"/>
        <v>6077.8</v>
      </c>
      <c r="J27" s="186"/>
      <c r="K27" s="205">
        <f>SUM(I25:I27)</f>
        <v>32774.119999999995</v>
      </c>
    </row>
    <row r="28" spans="1:12">
      <c r="A28" s="171"/>
      <c r="B28" s="172"/>
      <c r="C28" s="173"/>
      <c r="D28" s="183" t="s">
        <v>181</v>
      </c>
      <c r="E28" s="184" t="s">
        <v>214</v>
      </c>
      <c r="F28" s="185" t="s">
        <v>215</v>
      </c>
      <c r="G28" s="123">
        <f>G10</f>
        <v>8317.92</v>
      </c>
      <c r="H28" s="26">
        <v>1</v>
      </c>
      <c r="I28" s="186">
        <f t="shared" si="4"/>
        <v>8317.92</v>
      </c>
      <c r="J28" s="186"/>
    </row>
    <row r="29" spans="1:12">
      <c r="A29" s="171"/>
      <c r="B29" s="172"/>
      <c r="C29" s="173"/>
      <c r="D29" s="183" t="s">
        <v>216</v>
      </c>
      <c r="E29" s="184" t="s">
        <v>214</v>
      </c>
      <c r="F29" s="185" t="s">
        <v>222</v>
      </c>
      <c r="G29" s="123">
        <f>G11</f>
        <v>16640</v>
      </c>
      <c r="H29" s="26">
        <v>1</v>
      </c>
      <c r="I29" s="186">
        <f t="shared" si="4"/>
        <v>16640</v>
      </c>
      <c r="J29" s="186"/>
      <c r="K29" s="210">
        <f>SUM(I28:I29)</f>
        <v>24957.919999999998</v>
      </c>
    </row>
    <row r="30" spans="1:12">
      <c r="B30" s="26" t="s">
        <v>223</v>
      </c>
      <c r="C30" s="187"/>
      <c r="D30" s="183" t="s">
        <v>220</v>
      </c>
      <c r="E30" s="184" t="s">
        <v>214</v>
      </c>
      <c r="F30" s="185" t="s">
        <v>221</v>
      </c>
      <c r="G30" s="123"/>
      <c r="H30" s="26" t="s">
        <v>57</v>
      </c>
      <c r="I30" s="186" t="e">
        <f t="shared" si="4"/>
        <v>#VALUE!</v>
      </c>
      <c r="J30" s="186"/>
      <c r="K30" s="233"/>
    </row>
    <row r="31" spans="1:12">
      <c r="B31" s="26"/>
      <c r="C31" s="187"/>
      <c r="D31" s="183"/>
      <c r="E31" s="184"/>
      <c r="F31" s="185"/>
      <c r="G31" s="123"/>
      <c r="H31" s="26"/>
      <c r="I31" s="186"/>
      <c r="J31" s="186"/>
    </row>
    <row r="32" spans="1:12">
      <c r="B32" s="26"/>
      <c r="C32" s="187"/>
      <c r="D32" s="183"/>
      <c r="E32" s="184"/>
      <c r="F32" s="188"/>
      <c r="G32" s="123"/>
      <c r="H32" s="26"/>
      <c r="I32" s="186">
        <f t="shared" si="4"/>
        <v>0</v>
      </c>
      <c r="J32" s="186"/>
    </row>
    <row r="33" spans="1:17">
      <c r="B33" s="26"/>
      <c r="C33" s="187"/>
      <c r="D33" s="183"/>
      <c r="E33" s="184"/>
      <c r="F33" s="188"/>
      <c r="G33" s="123"/>
      <c r="H33" s="26"/>
      <c r="I33" s="186">
        <f t="shared" si="4"/>
        <v>0</v>
      </c>
      <c r="J33" s="186"/>
    </row>
    <row r="34" spans="1:17">
      <c r="B34" s="26"/>
      <c r="C34" s="189" t="s">
        <v>111</v>
      </c>
      <c r="D34" s="190"/>
      <c r="E34" s="190"/>
      <c r="F34" s="187"/>
      <c r="G34" s="123"/>
      <c r="H34" s="26"/>
      <c r="I34" s="211" t="e">
        <f>SUM(I25:I33)</f>
        <v>#VALUE!</v>
      </c>
      <c r="J34" s="211"/>
      <c r="K34" s="236">
        <f>SUM(K25:K33)</f>
        <v>57732.039999999994</v>
      </c>
    </row>
    <row r="35" spans="1:17" ht="27" customHeight="1">
      <c r="A35" s="326" t="s">
        <v>219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spans="1:17" s="55" customFormat="1" ht="26">
      <c r="A36" t="s">
        <v>37</v>
      </c>
      <c r="B36" s="159" t="s">
        <v>189</v>
      </c>
      <c r="C36" s="151" t="s">
        <v>190</v>
      </c>
      <c r="D36" s="152" t="s">
        <v>211</v>
      </c>
      <c r="E36" s="152" t="s">
        <v>198</v>
      </c>
      <c r="F36" s="151" t="s">
        <v>204</v>
      </c>
      <c r="G36" s="151" t="s">
        <v>199</v>
      </c>
      <c r="H36" s="151" t="s">
        <v>200</v>
      </c>
      <c r="I36" s="214" t="s">
        <v>218</v>
      </c>
      <c r="J36" s="216" t="s">
        <v>225</v>
      </c>
      <c r="K36" s="217" t="s">
        <v>226</v>
      </c>
      <c r="L36" s="216" t="s">
        <v>227</v>
      </c>
      <c r="M36" s="216" t="s">
        <v>228</v>
      </c>
      <c r="N36" s="216" t="s">
        <v>229</v>
      </c>
      <c r="O36" s="216" t="s">
        <v>230</v>
      </c>
      <c r="P36" s="153"/>
      <c r="Q36" s="215" t="s">
        <v>202</v>
      </c>
    </row>
    <row r="37" spans="1:17" s="55" customFormat="1" ht="15" customHeight="1">
      <c r="A37" s="171">
        <v>72264</v>
      </c>
      <c r="B37" s="172" t="s">
        <v>27</v>
      </c>
      <c r="C37" s="173">
        <v>719</v>
      </c>
      <c r="D37" s="207">
        <v>26</v>
      </c>
      <c r="E37" s="218">
        <f>+D37*$G$25</f>
        <v>10408.58</v>
      </c>
      <c r="F37" s="218">
        <f>+D37*$G$26</f>
        <v>1355.8999999999999</v>
      </c>
      <c r="G37" s="219">
        <f>+(C37/$C$42)*$I$27</f>
        <v>1397.9328854766475</v>
      </c>
      <c r="H37" s="218">
        <f>+(C37/$C$42)*$I$28</f>
        <v>1913.1748176583494</v>
      </c>
      <c r="I37" s="220">
        <f>+(C37/$C$42)*$I$29</f>
        <v>3827.3064619321817</v>
      </c>
      <c r="J37" s="219"/>
      <c r="K37" s="219">
        <f>2*$D$16</f>
        <v>532.5</v>
      </c>
      <c r="L37" s="221">
        <f>2*$D$17</f>
        <v>722.7</v>
      </c>
      <c r="M37" s="222">
        <f>$G$18</f>
        <v>388.82</v>
      </c>
      <c r="N37" s="219"/>
      <c r="O37" s="219"/>
      <c r="P37" s="219"/>
      <c r="Q37" s="223">
        <f>SUM(K37:O37)</f>
        <v>1644.02</v>
      </c>
    </row>
    <row r="38" spans="1:17" s="55" customFormat="1" ht="15" customHeight="1">
      <c r="A38" s="171">
        <v>72263</v>
      </c>
      <c r="B38" s="172" t="s">
        <v>26</v>
      </c>
      <c r="C38" s="173">
        <v>930</v>
      </c>
      <c r="D38" s="207">
        <v>3</v>
      </c>
      <c r="E38" s="218">
        <f t="shared" ref="E38:E41" si="5">+D38*$G$25</f>
        <v>1200.99</v>
      </c>
      <c r="F38" s="218">
        <f t="shared" ref="F38:F41" si="6">+D38*$G$26</f>
        <v>156.44999999999999</v>
      </c>
      <c r="G38" s="219">
        <f>+(C38/$C$42)*$I$27</f>
        <v>1808.1746641074856</v>
      </c>
      <c r="H38" s="218">
        <f>+(C38/$C$42)*$I$28</f>
        <v>2474.621113243762</v>
      </c>
      <c r="I38" s="220">
        <f>+(C38/$C$42)*$I$29</f>
        <v>4950.4798464491359</v>
      </c>
      <c r="J38" s="219"/>
      <c r="K38" s="219">
        <f>5*$D$16</f>
        <v>1331.25</v>
      </c>
      <c r="L38" s="221">
        <f>7*$D$17</f>
        <v>2529.4500000000003</v>
      </c>
      <c r="M38" s="222"/>
      <c r="N38" s="219"/>
      <c r="O38" s="219">
        <f>1*$D$20</f>
        <v>1094.5899999999999</v>
      </c>
      <c r="P38" s="219"/>
      <c r="Q38" s="223">
        <f t="shared" ref="Q38:Q41" si="7">SUM(K38:O38)</f>
        <v>4955.29</v>
      </c>
    </row>
    <row r="39" spans="1:17" s="55" customFormat="1" ht="15" customHeight="1">
      <c r="A39" s="171">
        <v>72265</v>
      </c>
      <c r="B39" s="172" t="s">
        <v>28</v>
      </c>
      <c r="C39" s="173">
        <v>736</v>
      </c>
      <c r="D39" s="207">
        <v>22</v>
      </c>
      <c r="E39" s="218">
        <f t="shared" si="5"/>
        <v>8807.26</v>
      </c>
      <c r="F39" s="218">
        <f t="shared" si="6"/>
        <v>1147.3</v>
      </c>
      <c r="G39" s="219">
        <f>+(C39/$C$42)*$I$27</f>
        <v>1430.9855406269994</v>
      </c>
      <c r="H39" s="218">
        <f>+(C39/$C$42)*$I$28</f>
        <v>1958.4098272552785</v>
      </c>
      <c r="I39" s="220">
        <f>+(C39/$C$42)*$I$29</f>
        <v>3917.7991042866283</v>
      </c>
      <c r="J39" s="219"/>
      <c r="K39" s="219">
        <f>4*$D$16</f>
        <v>1065</v>
      </c>
      <c r="L39" s="221">
        <f>3*$D$17</f>
        <v>1084.0500000000002</v>
      </c>
      <c r="M39" s="222"/>
      <c r="N39" s="219"/>
      <c r="O39" s="219">
        <f>2*$D$20</f>
        <v>2189.1799999999998</v>
      </c>
      <c r="P39" s="219"/>
      <c r="Q39" s="223">
        <f t="shared" si="7"/>
        <v>4338.2299999999996</v>
      </c>
    </row>
    <row r="40" spans="1:17" s="55" customFormat="1" ht="15" customHeight="1">
      <c r="A40" s="171">
        <v>72266</v>
      </c>
      <c r="B40" s="172" t="s">
        <v>29</v>
      </c>
      <c r="C40" s="173">
        <v>285</v>
      </c>
      <c r="D40" s="207">
        <v>8</v>
      </c>
      <c r="E40" s="218">
        <f t="shared" si="5"/>
        <v>3202.64</v>
      </c>
      <c r="F40" s="218">
        <f t="shared" si="6"/>
        <v>417.2</v>
      </c>
      <c r="G40" s="219">
        <f>+(C40/$C$42)*$I$27</f>
        <v>554.11804222648755</v>
      </c>
      <c r="H40" s="218">
        <f>+(C40/$C$42)*$I$28</f>
        <v>758.35163147792707</v>
      </c>
      <c r="I40" s="220">
        <f>+(C40/$C$42)*$I$29</f>
        <v>1517.0825335892516</v>
      </c>
      <c r="J40" s="219">
        <f>$G$15</f>
        <v>904.44</v>
      </c>
      <c r="K40" s="219">
        <f>5*$D$16</f>
        <v>1331.25</v>
      </c>
      <c r="L40" s="221">
        <f>2*$D$17</f>
        <v>722.7</v>
      </c>
      <c r="M40" s="222"/>
      <c r="N40" s="219">
        <f>$G$19</f>
        <v>697.33</v>
      </c>
      <c r="O40" s="219"/>
      <c r="P40" s="219"/>
      <c r="Q40" s="223">
        <f t="shared" si="7"/>
        <v>2751.2799999999997</v>
      </c>
    </row>
    <row r="41" spans="1:17" s="55" customFormat="1" ht="15" customHeight="1">
      <c r="A41" s="171">
        <v>72267</v>
      </c>
      <c r="B41" s="172" t="s">
        <v>30</v>
      </c>
      <c r="C41" s="173">
        <v>456</v>
      </c>
      <c r="D41" s="207">
        <v>0</v>
      </c>
      <c r="E41" s="218">
        <f t="shared" si="5"/>
        <v>0</v>
      </c>
      <c r="F41" s="218">
        <f t="shared" si="6"/>
        <v>0</v>
      </c>
      <c r="G41" s="219">
        <f>+(C41/$C$42)*$I$27</f>
        <v>886.58886756238007</v>
      </c>
      <c r="H41" s="218">
        <v>1213.3599999999999</v>
      </c>
      <c r="I41" s="220">
        <f>+(C41/$C$42)*$I$29</f>
        <v>2427.3320537428021</v>
      </c>
      <c r="J41" s="219"/>
      <c r="K41" s="219"/>
      <c r="L41" s="221"/>
      <c r="M41" s="222"/>
      <c r="N41" s="219"/>
      <c r="O41" s="219"/>
      <c r="P41" s="219"/>
      <c r="Q41" s="223">
        <f t="shared" si="7"/>
        <v>0</v>
      </c>
    </row>
    <row r="42" spans="1:17" s="65" customFormat="1" ht="15" customHeight="1">
      <c r="B42" s="159" t="s">
        <v>111</v>
      </c>
      <c r="C42" s="160">
        <f t="shared" ref="C42:H42" si="8">SUM(C37:C41)</f>
        <v>3126</v>
      </c>
      <c r="D42" s="160">
        <f t="shared" si="8"/>
        <v>59</v>
      </c>
      <c r="E42" s="224">
        <f t="shared" si="8"/>
        <v>23619.47</v>
      </c>
      <c r="F42" s="224">
        <f t="shared" si="8"/>
        <v>3076.8499999999995</v>
      </c>
      <c r="G42" s="224">
        <f t="shared" si="8"/>
        <v>6077.8</v>
      </c>
      <c r="H42" s="224">
        <f t="shared" si="8"/>
        <v>8317.9173896353168</v>
      </c>
      <c r="I42" s="225">
        <f t="shared" ref="I42:O42" si="9">SUM(I37:I41)</f>
        <v>16640</v>
      </c>
      <c r="J42" s="225">
        <f t="shared" si="9"/>
        <v>904.44</v>
      </c>
      <c r="K42" s="225">
        <f t="shared" si="9"/>
        <v>4260</v>
      </c>
      <c r="L42" s="225">
        <f t="shared" si="9"/>
        <v>5058.9000000000005</v>
      </c>
      <c r="M42" s="225">
        <f t="shared" si="9"/>
        <v>388.82</v>
      </c>
      <c r="N42" s="225">
        <f t="shared" si="9"/>
        <v>697.33</v>
      </c>
      <c r="O42" s="225">
        <f t="shared" si="9"/>
        <v>3283.7699999999995</v>
      </c>
      <c r="P42" s="226"/>
      <c r="Q42" s="227">
        <f>SUM(E42:O42)</f>
        <v>72325.297389635336</v>
      </c>
    </row>
    <row r="43" spans="1:17" s="65" customFormat="1" ht="15" customHeight="1">
      <c r="B43" s="65" t="s">
        <v>210</v>
      </c>
      <c r="C43" s="208"/>
      <c r="D43" s="208"/>
      <c r="E43" s="228"/>
      <c r="F43" s="228"/>
      <c r="G43" s="229">
        <f>SUM(E42:G42)</f>
        <v>32774.120000000003</v>
      </c>
      <c r="H43" s="230"/>
      <c r="I43" s="231">
        <f>SUM(H42:I42)</f>
        <v>24957.917389635317</v>
      </c>
      <c r="J43" s="235"/>
      <c r="K43" s="235"/>
      <c r="L43" s="235"/>
      <c r="M43" s="235"/>
      <c r="N43" s="235"/>
      <c r="O43" s="234">
        <f>SUM(J42:O42)</f>
        <v>14593.259999999998</v>
      </c>
      <c r="P43" s="226"/>
      <c r="Q43" s="232"/>
    </row>
    <row r="44" spans="1:17" s="70" customFormat="1" ht="53.15" customHeight="1">
      <c r="A44" s="317" t="s">
        <v>179</v>
      </c>
      <c r="B44" s="317"/>
      <c r="C44" s="317"/>
      <c r="D44" s="317"/>
      <c r="E44" s="317"/>
      <c r="F44" s="317"/>
      <c r="G44" s="317"/>
      <c r="H44" s="318"/>
      <c r="I44" s="148"/>
      <c r="J44" s="148"/>
      <c r="K44" s="148"/>
      <c r="L44" s="148"/>
      <c r="M44" s="149"/>
      <c r="N44" s="149"/>
    </row>
    <row r="45" spans="1:17" s="55" customFormat="1" ht="39">
      <c r="A45" s="150" t="s">
        <v>163</v>
      </c>
      <c r="B45" s="150" t="s">
        <v>38</v>
      </c>
      <c r="C45" s="151" t="s">
        <v>164</v>
      </c>
      <c r="D45" s="152" t="s">
        <v>165</v>
      </c>
      <c r="E45" s="151" t="s">
        <v>166</v>
      </c>
      <c r="F45" s="151" t="s">
        <v>167</v>
      </c>
      <c r="G45" s="153" t="s">
        <v>168</v>
      </c>
      <c r="H45" s="152" t="s">
        <v>169</v>
      </c>
      <c r="I45" s="170"/>
      <c r="J45" s="170"/>
      <c r="K45" s="154"/>
      <c r="L45" s="152"/>
      <c r="M45" s="53"/>
    </row>
    <row r="46" spans="1:17" s="55" customFormat="1" ht="15" customHeight="1">
      <c r="A46" s="171">
        <v>72264</v>
      </c>
      <c r="B46" s="172" t="s">
        <v>27</v>
      </c>
      <c r="C46" s="173">
        <v>719</v>
      </c>
      <c r="D46" s="168">
        <v>114802.05</v>
      </c>
      <c r="E46" s="168">
        <v>22923.599999999999</v>
      </c>
      <c r="F46" s="168">
        <v>91878.45</v>
      </c>
      <c r="G46" s="167">
        <f>+D46*0.2</f>
        <v>22960.410000000003</v>
      </c>
      <c r="H46" s="168">
        <f>+F46+G46</f>
        <v>114838.86</v>
      </c>
      <c r="I46" s="156"/>
      <c r="J46" s="156"/>
      <c r="K46" s="156"/>
      <c r="L46" s="155"/>
      <c r="M46" s="57"/>
      <c r="O46" s="157"/>
      <c r="P46" s="158"/>
    </row>
    <row r="47" spans="1:17" s="55" customFormat="1" ht="15" customHeight="1">
      <c r="A47" s="171">
        <v>72263</v>
      </c>
      <c r="B47" s="172" t="s">
        <v>26</v>
      </c>
      <c r="C47" s="173">
        <v>930</v>
      </c>
      <c r="D47" s="168">
        <v>148492.22</v>
      </c>
      <c r="E47" s="168">
        <v>69481.5</v>
      </c>
      <c r="F47" s="168">
        <v>79010.720000000001</v>
      </c>
      <c r="G47" s="167">
        <f t="shared" ref="G47:G48" si="10">+D47*0.2</f>
        <v>29698.444000000003</v>
      </c>
      <c r="H47" s="168">
        <f t="shared" ref="H47:H48" si="11">+F47+G47</f>
        <v>108709.164</v>
      </c>
      <c r="I47" s="156"/>
      <c r="J47" s="156"/>
      <c r="K47" s="156"/>
      <c r="L47" s="155"/>
      <c r="M47" s="57"/>
      <c r="O47" s="157"/>
      <c r="P47" s="158"/>
    </row>
    <row r="48" spans="1:17" s="55" customFormat="1" ht="15" customHeight="1">
      <c r="A48" s="171">
        <v>72265</v>
      </c>
      <c r="B48" s="172" t="s">
        <v>28</v>
      </c>
      <c r="C48" s="173">
        <v>736</v>
      </c>
      <c r="D48" s="168">
        <v>117516.42</v>
      </c>
      <c r="E48" s="168">
        <v>35315.9</v>
      </c>
      <c r="F48" s="168">
        <v>82200.52</v>
      </c>
      <c r="G48" s="167">
        <f t="shared" si="10"/>
        <v>23503.284</v>
      </c>
      <c r="H48" s="168">
        <f t="shared" si="11"/>
        <v>105703.804</v>
      </c>
      <c r="I48" s="156"/>
      <c r="J48" s="156"/>
      <c r="K48" s="156"/>
      <c r="L48" s="155"/>
      <c r="M48" s="57"/>
      <c r="O48" s="157"/>
      <c r="P48" s="158"/>
    </row>
    <row r="49" spans="1:16" s="55" customFormat="1" ht="15" customHeight="1">
      <c r="A49" s="171">
        <v>72266</v>
      </c>
      <c r="B49" s="172" t="s">
        <v>29</v>
      </c>
      <c r="C49" s="173">
        <v>285</v>
      </c>
      <c r="D49" s="168">
        <v>45505.68</v>
      </c>
      <c r="E49" s="168">
        <v>44659.5</v>
      </c>
      <c r="F49" s="168">
        <v>846.18</v>
      </c>
      <c r="G49" s="167">
        <f t="shared" ref="G49:G50" si="12">+D49*0.2</f>
        <v>9101.1360000000004</v>
      </c>
      <c r="H49" s="168">
        <f t="shared" ref="H49:H50" si="13">+F49+G49</f>
        <v>9947.3160000000007</v>
      </c>
      <c r="I49" s="156"/>
      <c r="J49" s="156"/>
      <c r="K49" s="156"/>
      <c r="L49" s="155"/>
      <c r="M49" s="57"/>
      <c r="O49" s="157"/>
      <c r="P49" s="158"/>
    </row>
    <row r="50" spans="1:16" s="55" customFormat="1" ht="15" customHeight="1">
      <c r="A50" s="171">
        <v>72267</v>
      </c>
      <c r="B50" s="172" t="s">
        <v>30</v>
      </c>
      <c r="C50" s="173">
        <v>456</v>
      </c>
      <c r="D50" s="168">
        <v>72809.09</v>
      </c>
      <c r="E50" s="168">
        <v>0</v>
      </c>
      <c r="F50" s="168">
        <v>72809.09</v>
      </c>
      <c r="G50" s="167">
        <f t="shared" si="12"/>
        <v>14561.817999999999</v>
      </c>
      <c r="H50" s="168">
        <f t="shared" si="13"/>
        <v>87370.907999999996</v>
      </c>
      <c r="I50" s="156"/>
      <c r="J50" s="156"/>
      <c r="K50" s="156"/>
      <c r="L50" s="155"/>
      <c r="M50" s="57"/>
      <c r="O50" s="157"/>
      <c r="P50" s="158"/>
    </row>
    <row r="51" spans="1:16" s="65" customFormat="1" ht="15" customHeight="1">
      <c r="A51" s="159"/>
      <c r="B51" s="159" t="s">
        <v>111</v>
      </c>
      <c r="C51" s="160">
        <f>SUM(C46:C50)</f>
        <v>3126</v>
      </c>
      <c r="D51" s="169">
        <f>SUM(D46:D50)</f>
        <v>499125.45999999996</v>
      </c>
      <c r="E51" s="169">
        <f t="shared" ref="E51:H51" si="14">SUM(E46:E50)</f>
        <v>172380.5</v>
      </c>
      <c r="F51" s="169">
        <f t="shared" si="14"/>
        <v>326744.95999999996</v>
      </c>
      <c r="G51" s="169">
        <f t="shared" si="14"/>
        <v>99825.092000000004</v>
      </c>
      <c r="H51" s="169">
        <f t="shared" si="14"/>
        <v>426570.05199999997</v>
      </c>
      <c r="I51" s="159"/>
      <c r="J51" s="159"/>
      <c r="K51" s="161"/>
      <c r="L51" s="161"/>
      <c r="M51" s="162"/>
    </row>
    <row r="52" spans="1:16" s="65" customFormat="1" ht="15" customHeight="1">
      <c r="A52" s="163"/>
      <c r="B52" s="319"/>
      <c r="C52" s="320"/>
      <c r="D52" s="320"/>
      <c r="E52" s="320"/>
      <c r="F52" s="320"/>
      <c r="G52" s="320"/>
      <c r="H52" s="321"/>
      <c r="I52" s="164"/>
      <c r="J52" s="164"/>
      <c r="K52" s="164"/>
      <c r="L52" s="164"/>
      <c r="M52" s="162"/>
    </row>
    <row r="54" spans="1:16">
      <c r="A54" t="s">
        <v>170</v>
      </c>
    </row>
    <row r="57" spans="1:16">
      <c r="A57" t="s">
        <v>171</v>
      </c>
    </row>
    <row r="58" spans="1:16">
      <c r="A58" t="s">
        <v>172</v>
      </c>
    </row>
    <row r="61" spans="1:16">
      <c r="B61" t="s">
        <v>37</v>
      </c>
      <c r="C61" t="s">
        <v>97</v>
      </c>
    </row>
    <row r="62" spans="1:16">
      <c r="B62">
        <v>72264</v>
      </c>
      <c r="C62" t="s">
        <v>33</v>
      </c>
    </row>
    <row r="65" spans="1:6">
      <c r="C65" t="s">
        <v>98</v>
      </c>
      <c r="D65" t="s">
        <v>99</v>
      </c>
      <c r="E65" t="s">
        <v>100</v>
      </c>
    </row>
    <row r="66" spans="1:6">
      <c r="B66" t="s">
        <v>173</v>
      </c>
      <c r="C66" s="165">
        <v>114802.05</v>
      </c>
      <c r="D66" s="165">
        <v>22923.599999999999</v>
      </c>
      <c r="E66" s="165">
        <v>91878.45</v>
      </c>
      <c r="F66" s="166">
        <v>0</v>
      </c>
    </row>
    <row r="68" spans="1:6">
      <c r="B68" t="s">
        <v>173</v>
      </c>
      <c r="C68" t="s">
        <v>174</v>
      </c>
    </row>
    <row r="71" spans="1:6">
      <c r="A71" t="s">
        <v>175</v>
      </c>
    </row>
    <row r="74" spans="1:6">
      <c r="A74" t="s">
        <v>176</v>
      </c>
    </row>
    <row r="77" spans="1:6">
      <c r="A77" t="s">
        <v>177</v>
      </c>
    </row>
    <row r="80" spans="1:6">
      <c r="A80" t="s">
        <v>103</v>
      </c>
      <c r="B80" t="s">
        <v>104</v>
      </c>
      <c r="C80" t="s">
        <v>105</v>
      </c>
      <c r="D80" t="s">
        <v>106</v>
      </c>
      <c r="E80" t="s">
        <v>107</v>
      </c>
    </row>
    <row r="81" spans="1:5">
      <c r="A81">
        <v>1999033673</v>
      </c>
      <c r="B81">
        <v>1</v>
      </c>
      <c r="C81" s="165">
        <v>3341</v>
      </c>
      <c r="D81" s="165">
        <v>3341</v>
      </c>
      <c r="E81" t="s">
        <v>108</v>
      </c>
    </row>
    <row r="82" spans="1:5">
      <c r="A82">
        <v>1999033673</v>
      </c>
      <c r="B82">
        <v>2</v>
      </c>
      <c r="C82" s="165">
        <v>567.6</v>
      </c>
      <c r="D82" s="165">
        <v>567.6</v>
      </c>
      <c r="E82" t="s">
        <v>108</v>
      </c>
    </row>
    <row r="83" spans="1:5">
      <c r="A83">
        <v>1999033688</v>
      </c>
      <c r="B83">
        <v>1</v>
      </c>
      <c r="C83" s="165">
        <v>11313</v>
      </c>
      <c r="D83" s="165">
        <v>11313</v>
      </c>
      <c r="E83" t="s">
        <v>108</v>
      </c>
    </row>
    <row r="84" spans="1:5">
      <c r="A84">
        <v>1999033688</v>
      </c>
      <c r="B84">
        <v>2</v>
      </c>
      <c r="C84" s="165">
        <v>2365</v>
      </c>
      <c r="D84" s="165">
        <v>2365</v>
      </c>
      <c r="E84" t="s">
        <v>108</v>
      </c>
    </row>
    <row r="85" spans="1:5">
      <c r="A85">
        <v>1999033688</v>
      </c>
      <c r="B85">
        <v>3</v>
      </c>
      <c r="C85" s="165">
        <v>2057</v>
      </c>
      <c r="D85" s="165">
        <v>2057</v>
      </c>
      <c r="E85" t="s">
        <v>108</v>
      </c>
    </row>
    <row r="86" spans="1:5">
      <c r="A86">
        <v>1999033688</v>
      </c>
      <c r="B86">
        <v>4</v>
      </c>
      <c r="C86" s="165">
        <v>3280</v>
      </c>
      <c r="D86" s="165">
        <v>3280</v>
      </c>
      <c r="E86" t="s">
        <v>108</v>
      </c>
    </row>
    <row r="89" spans="1:5">
      <c r="A89" t="s">
        <v>178</v>
      </c>
    </row>
    <row r="92" spans="1:5">
      <c r="B92" t="s">
        <v>37</v>
      </c>
      <c r="C92" t="s">
        <v>97</v>
      </c>
    </row>
    <row r="94" spans="1:5">
      <c r="B94">
        <v>72263</v>
      </c>
      <c r="C94" t="s">
        <v>32</v>
      </c>
    </row>
    <row r="97" spans="1:6">
      <c r="C97" t="s">
        <v>98</v>
      </c>
      <c r="D97" t="s">
        <v>99</v>
      </c>
      <c r="E97" t="s">
        <v>100</v>
      </c>
    </row>
    <row r="98" spans="1:6">
      <c r="B98" t="s">
        <v>173</v>
      </c>
      <c r="C98" s="165">
        <v>148492.22</v>
      </c>
      <c r="D98" s="165">
        <v>69481.5</v>
      </c>
      <c r="E98" s="165">
        <v>79010.720000000001</v>
      </c>
      <c r="F98" s="166">
        <v>0</v>
      </c>
    </row>
    <row r="100" spans="1:6">
      <c r="B100" t="s">
        <v>173</v>
      </c>
      <c r="C100" t="s">
        <v>174</v>
      </c>
    </row>
    <row r="103" spans="1:6">
      <c r="A103" t="s">
        <v>102</v>
      </c>
    </row>
    <row r="106" spans="1:6">
      <c r="A106" t="s">
        <v>176</v>
      </c>
    </row>
    <row r="109" spans="1:6">
      <c r="A109" t="s">
        <v>177</v>
      </c>
    </row>
    <row r="112" spans="1:6">
      <c r="A112" t="s">
        <v>103</v>
      </c>
      <c r="B112" t="s">
        <v>104</v>
      </c>
      <c r="C112" t="s">
        <v>105</v>
      </c>
      <c r="D112" t="s">
        <v>106</v>
      </c>
      <c r="E112" t="s">
        <v>107</v>
      </c>
    </row>
    <row r="113" spans="1:5">
      <c r="A113">
        <v>1899023232</v>
      </c>
      <c r="B113">
        <v>1</v>
      </c>
      <c r="C113" s="165">
        <v>36742.639999999999</v>
      </c>
      <c r="D113" s="165">
        <v>36742.639999999999</v>
      </c>
      <c r="E113" t="s">
        <v>108</v>
      </c>
    </row>
    <row r="114" spans="1:5">
      <c r="A114">
        <v>1899023232</v>
      </c>
      <c r="B114">
        <v>2</v>
      </c>
      <c r="C114" s="165">
        <v>5184</v>
      </c>
      <c r="D114" s="165">
        <v>5184</v>
      </c>
      <c r="E114" t="s">
        <v>108</v>
      </c>
    </row>
    <row r="115" spans="1:5">
      <c r="A115">
        <v>1899023232</v>
      </c>
      <c r="B115">
        <v>3</v>
      </c>
      <c r="C115" s="165">
        <v>5270</v>
      </c>
      <c r="D115" s="165">
        <v>5270</v>
      </c>
      <c r="E115" t="s">
        <v>108</v>
      </c>
    </row>
    <row r="116" spans="1:5">
      <c r="A116">
        <v>1899023232</v>
      </c>
      <c r="B116">
        <v>4</v>
      </c>
      <c r="C116" s="165">
        <v>604.75</v>
      </c>
      <c r="D116" s="165">
        <v>604.75</v>
      </c>
      <c r="E116" t="s">
        <v>108</v>
      </c>
    </row>
    <row r="117" spans="1:5">
      <c r="A117">
        <v>1899023232</v>
      </c>
      <c r="B117">
        <v>5</v>
      </c>
      <c r="C117" s="165">
        <v>15275.51</v>
      </c>
      <c r="D117" s="165">
        <v>15275.51</v>
      </c>
      <c r="E117" t="s">
        <v>108</v>
      </c>
    </row>
    <row r="120" spans="1:5">
      <c r="A120" t="s">
        <v>175</v>
      </c>
    </row>
    <row r="123" spans="1:5">
      <c r="A123" t="s">
        <v>176</v>
      </c>
    </row>
    <row r="126" spans="1:5">
      <c r="A126" t="s">
        <v>177</v>
      </c>
    </row>
    <row r="129" spans="1:6">
      <c r="A129" t="s">
        <v>103</v>
      </c>
      <c r="B129" t="s">
        <v>104</v>
      </c>
      <c r="C129" t="s">
        <v>105</v>
      </c>
      <c r="D129" t="s">
        <v>106</v>
      </c>
      <c r="E129" t="s">
        <v>107</v>
      </c>
    </row>
    <row r="130" spans="1:6">
      <c r="A130">
        <v>1999033673</v>
      </c>
      <c r="B130">
        <v>1</v>
      </c>
      <c r="C130" s="165">
        <v>3341</v>
      </c>
      <c r="D130" s="165">
        <v>3341</v>
      </c>
      <c r="E130" t="s">
        <v>108</v>
      </c>
    </row>
    <row r="131" spans="1:6">
      <c r="A131">
        <v>1999033673</v>
      </c>
      <c r="B131">
        <v>2</v>
      </c>
      <c r="C131" s="165">
        <v>567.6</v>
      </c>
      <c r="D131" s="165">
        <v>567.6</v>
      </c>
      <c r="E131" t="s">
        <v>108</v>
      </c>
    </row>
    <row r="132" spans="1:6">
      <c r="A132">
        <v>1999033688</v>
      </c>
      <c r="B132">
        <v>5</v>
      </c>
      <c r="C132" s="165">
        <v>2496</v>
      </c>
      <c r="D132" s="165">
        <v>2496</v>
      </c>
      <c r="E132" t="s">
        <v>108</v>
      </c>
    </row>
    <row r="135" spans="1:6">
      <c r="A135" t="s">
        <v>178</v>
      </c>
    </row>
    <row r="138" spans="1:6">
      <c r="B138" t="s">
        <v>37</v>
      </c>
      <c r="C138" t="s">
        <v>97</v>
      </c>
    </row>
    <row r="140" spans="1:6">
      <c r="B140">
        <v>72265</v>
      </c>
      <c r="C140" t="s">
        <v>34</v>
      </c>
    </row>
    <row r="143" spans="1:6">
      <c r="C143" t="s">
        <v>98</v>
      </c>
      <c r="D143" t="s">
        <v>99</v>
      </c>
      <c r="E143" t="s">
        <v>100</v>
      </c>
    </row>
    <row r="144" spans="1:6">
      <c r="B144" t="s">
        <v>173</v>
      </c>
      <c r="C144" s="165">
        <v>117516.42</v>
      </c>
      <c r="D144" s="165">
        <v>35315.9</v>
      </c>
      <c r="E144" s="165">
        <v>82200.52</v>
      </c>
      <c r="F144" s="166">
        <v>0</v>
      </c>
    </row>
    <row r="146" spans="1:5">
      <c r="B146" t="s">
        <v>173</v>
      </c>
      <c r="C146" t="s">
        <v>174</v>
      </c>
    </row>
    <row r="149" spans="1:5">
      <c r="A149" t="s">
        <v>102</v>
      </c>
    </row>
    <row r="152" spans="1:5">
      <c r="A152" t="s">
        <v>176</v>
      </c>
    </row>
    <row r="155" spans="1:5">
      <c r="A155" t="s">
        <v>177</v>
      </c>
    </row>
    <row r="158" spans="1:5">
      <c r="A158" t="s">
        <v>103</v>
      </c>
      <c r="B158" t="s">
        <v>104</v>
      </c>
      <c r="C158" t="s">
        <v>105</v>
      </c>
      <c r="D158" t="s">
        <v>106</v>
      </c>
      <c r="E158" t="s">
        <v>107</v>
      </c>
    </row>
    <row r="159" spans="1:5">
      <c r="A159">
        <v>1899023232</v>
      </c>
      <c r="B159">
        <v>6</v>
      </c>
      <c r="C159" s="165">
        <v>3230</v>
      </c>
      <c r="D159" s="165">
        <v>3230</v>
      </c>
      <c r="E159" t="s">
        <v>108</v>
      </c>
    </row>
    <row r="160" spans="1:5">
      <c r="A160">
        <v>1899023232</v>
      </c>
      <c r="B160">
        <v>7</v>
      </c>
      <c r="C160" s="165">
        <v>604.75</v>
      </c>
      <c r="D160" s="165">
        <v>604.75</v>
      </c>
      <c r="E160" t="s">
        <v>108</v>
      </c>
    </row>
    <row r="161" spans="1:5">
      <c r="A161">
        <v>1899023232</v>
      </c>
      <c r="B161">
        <v>8</v>
      </c>
      <c r="C161" s="165">
        <v>6430.55</v>
      </c>
      <c r="D161" s="165">
        <v>6430.55</v>
      </c>
      <c r="E161" t="s">
        <v>108</v>
      </c>
    </row>
    <row r="164" spans="1:5">
      <c r="A164" t="s">
        <v>175</v>
      </c>
    </row>
    <row r="167" spans="1:5">
      <c r="A167" t="s">
        <v>176</v>
      </c>
    </row>
    <row r="170" spans="1:5">
      <c r="A170" t="s">
        <v>177</v>
      </c>
    </row>
    <row r="173" spans="1:5">
      <c r="A173" t="s">
        <v>103</v>
      </c>
      <c r="B173" t="s">
        <v>104</v>
      </c>
      <c r="C173" t="s">
        <v>105</v>
      </c>
      <c r="D173" t="s">
        <v>106</v>
      </c>
      <c r="E173" t="s">
        <v>107</v>
      </c>
    </row>
    <row r="174" spans="1:5">
      <c r="A174">
        <v>1999033673</v>
      </c>
      <c r="B174">
        <v>1</v>
      </c>
      <c r="C174" s="165">
        <v>3341</v>
      </c>
      <c r="D174" s="165">
        <v>3341</v>
      </c>
      <c r="E174" t="s">
        <v>108</v>
      </c>
    </row>
    <row r="175" spans="1:5">
      <c r="A175">
        <v>1999033673</v>
      </c>
      <c r="B175">
        <v>2</v>
      </c>
      <c r="C175" s="165">
        <v>567.6</v>
      </c>
      <c r="D175" s="165">
        <v>567.6</v>
      </c>
      <c r="E175" t="s">
        <v>108</v>
      </c>
    </row>
    <row r="176" spans="1:5">
      <c r="A176">
        <v>1999033688</v>
      </c>
      <c r="B176">
        <v>1</v>
      </c>
      <c r="C176" s="165">
        <v>12151</v>
      </c>
      <c r="D176" s="165">
        <v>12151</v>
      </c>
      <c r="E176" t="s">
        <v>108</v>
      </c>
    </row>
    <row r="177" spans="1:6">
      <c r="A177">
        <v>1999033688</v>
      </c>
      <c r="B177">
        <v>2</v>
      </c>
      <c r="C177" s="165">
        <v>2365</v>
      </c>
      <c r="D177" s="165">
        <v>2365</v>
      </c>
      <c r="E177" t="s">
        <v>108</v>
      </c>
    </row>
    <row r="178" spans="1:6">
      <c r="A178">
        <v>1999033688</v>
      </c>
      <c r="B178">
        <v>3</v>
      </c>
      <c r="C178" s="165">
        <v>2057</v>
      </c>
      <c r="D178" s="165">
        <v>2057</v>
      </c>
      <c r="E178" t="s">
        <v>108</v>
      </c>
    </row>
    <row r="179" spans="1:6">
      <c r="A179">
        <v>1999033688</v>
      </c>
      <c r="B179">
        <v>4</v>
      </c>
      <c r="C179" s="165">
        <v>3321</v>
      </c>
      <c r="D179" s="165">
        <v>3321</v>
      </c>
      <c r="E179" t="s">
        <v>108</v>
      </c>
    </row>
    <row r="180" spans="1:6">
      <c r="A180">
        <v>1999033688</v>
      </c>
      <c r="B180">
        <v>5</v>
      </c>
      <c r="C180" s="165">
        <v>1248</v>
      </c>
      <c r="D180" s="165">
        <v>1248</v>
      </c>
      <c r="E180" t="s">
        <v>108</v>
      </c>
    </row>
    <row r="183" spans="1:6">
      <c r="A183" t="s">
        <v>178</v>
      </c>
    </row>
    <row r="186" spans="1:6">
      <c r="B186" t="s">
        <v>37</v>
      </c>
      <c r="C186" t="s">
        <v>97</v>
      </c>
    </row>
    <row r="188" spans="1:6">
      <c r="B188">
        <v>72266</v>
      </c>
      <c r="C188" t="s">
        <v>35</v>
      </c>
    </row>
    <row r="191" spans="1:6">
      <c r="C191" t="s">
        <v>98</v>
      </c>
      <c r="D191" t="s">
        <v>99</v>
      </c>
      <c r="E191" t="s">
        <v>100</v>
      </c>
    </row>
    <row r="192" spans="1:6">
      <c r="B192" t="s">
        <v>173</v>
      </c>
      <c r="C192" s="165">
        <v>45505.68</v>
      </c>
      <c r="D192" s="165">
        <v>44659.5</v>
      </c>
      <c r="E192" s="165">
        <v>846.18</v>
      </c>
      <c r="F192" s="166">
        <v>0</v>
      </c>
    </row>
    <row r="194" spans="1:5">
      <c r="B194" t="s">
        <v>173</v>
      </c>
      <c r="C194" t="s">
        <v>174</v>
      </c>
    </row>
    <row r="197" spans="1:5">
      <c r="A197" t="s">
        <v>109</v>
      </c>
    </row>
    <row r="200" spans="1:5">
      <c r="A200" t="s">
        <v>176</v>
      </c>
    </row>
    <row r="203" spans="1:5">
      <c r="A203" t="s">
        <v>177</v>
      </c>
    </row>
    <row r="206" spans="1:5">
      <c r="A206" t="s">
        <v>103</v>
      </c>
      <c r="B206" t="s">
        <v>104</v>
      </c>
      <c r="C206" t="s">
        <v>105</v>
      </c>
      <c r="D206" t="s">
        <v>106</v>
      </c>
      <c r="E206" t="s">
        <v>107</v>
      </c>
    </row>
    <row r="207" spans="1:5">
      <c r="A207">
        <v>1799110589</v>
      </c>
      <c r="B207">
        <v>6</v>
      </c>
      <c r="C207" s="165">
        <v>14659.5</v>
      </c>
      <c r="D207" s="165">
        <v>14659.5</v>
      </c>
      <c r="E207" t="s">
        <v>108</v>
      </c>
    </row>
    <row r="208" spans="1:5">
      <c r="A208">
        <v>1799110589</v>
      </c>
      <c r="B208">
        <v>7</v>
      </c>
      <c r="C208" s="165">
        <v>1875</v>
      </c>
      <c r="D208" s="165">
        <v>1875</v>
      </c>
      <c r="E208" t="s">
        <v>108</v>
      </c>
    </row>
    <row r="211" spans="1:5">
      <c r="A211" t="s">
        <v>110</v>
      </c>
    </row>
    <row r="214" spans="1:5">
      <c r="A214" t="s">
        <v>176</v>
      </c>
    </row>
    <row r="217" spans="1:5">
      <c r="A217" t="s">
        <v>177</v>
      </c>
    </row>
    <row r="220" spans="1:5">
      <c r="A220" t="s">
        <v>103</v>
      </c>
      <c r="B220" t="s">
        <v>104</v>
      </c>
      <c r="C220" t="s">
        <v>105</v>
      </c>
      <c r="D220" t="s">
        <v>106</v>
      </c>
      <c r="E220" t="s">
        <v>107</v>
      </c>
    </row>
    <row r="221" spans="1:5">
      <c r="A221">
        <v>1799111542</v>
      </c>
      <c r="B221">
        <v>1</v>
      </c>
      <c r="C221" s="165">
        <v>28125</v>
      </c>
      <c r="D221" s="165">
        <v>28125</v>
      </c>
      <c r="E221" t="s">
        <v>108</v>
      </c>
    </row>
    <row r="224" spans="1:5">
      <c r="A224" t="s">
        <v>178</v>
      </c>
    </row>
    <row r="227" spans="2:5">
      <c r="B227" t="s">
        <v>37</v>
      </c>
      <c r="C227" t="s">
        <v>97</v>
      </c>
    </row>
    <row r="228" spans="2:5">
      <c r="B228">
        <v>72267</v>
      </c>
      <c r="C228" t="s">
        <v>36</v>
      </c>
    </row>
    <row r="231" spans="2:5">
      <c r="C231" t="s">
        <v>98</v>
      </c>
      <c r="D231" t="s">
        <v>99</v>
      </c>
      <c r="E231" t="s">
        <v>100</v>
      </c>
    </row>
    <row r="232" spans="2:5">
      <c r="B232" t="s">
        <v>173</v>
      </c>
      <c r="C232" s="165">
        <v>72809.09</v>
      </c>
      <c r="D232" s="165">
        <v>0</v>
      </c>
      <c r="E232" s="165">
        <v>72809.09</v>
      </c>
    </row>
  </sheetData>
  <mergeCells count="10">
    <mergeCell ref="A44:H44"/>
    <mergeCell ref="B52:H52"/>
    <mergeCell ref="B23:I23"/>
    <mergeCell ref="A6:B6"/>
    <mergeCell ref="A7:D7"/>
    <mergeCell ref="A12:B12"/>
    <mergeCell ref="A13:D13"/>
    <mergeCell ref="A35:K35"/>
    <mergeCell ref="A21:B21"/>
    <mergeCell ref="A22:D22"/>
  </mergeCells>
  <pageMargins left="0.7" right="0.7" top="0.75" bottom="0.75" header="0.3" footer="0.3"/>
  <pageSetup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79A86-E15C-4DA8-BB5F-81F72E306768}">
  <sheetPr>
    <pageSetUpPr fitToPage="1"/>
  </sheetPr>
  <dimension ref="A1:O23"/>
  <sheetViews>
    <sheetView topLeftCell="A10" workbookViewId="0">
      <selection activeCell="D17" sqref="D17"/>
    </sheetView>
  </sheetViews>
  <sheetFormatPr defaultColWidth="9.1796875" defaultRowHeight="12.5"/>
  <cols>
    <col min="1" max="1" width="9.1796875" style="64" customWidth="1"/>
    <col min="2" max="2" width="9.1796875" style="64"/>
    <col min="3" max="3" width="23.1796875" style="64" customWidth="1"/>
    <col min="4" max="4" width="15.453125" style="64" customWidth="1"/>
    <col min="5" max="7" width="12.54296875" style="66" customWidth="1"/>
    <col min="8" max="8" width="12.54296875" style="64" customWidth="1"/>
    <col min="9" max="9" width="12.54296875" style="66" customWidth="1"/>
    <col min="10" max="10" width="15.81640625" style="66" customWidth="1"/>
    <col min="11" max="11" width="12.54296875" style="64" customWidth="1"/>
    <col min="12" max="13" width="12.453125" style="64" customWidth="1"/>
    <col min="14" max="15" width="11.1796875" style="64" bestFit="1" customWidth="1"/>
    <col min="16" max="16384" width="9.1796875" style="64"/>
  </cols>
  <sheetData>
    <row r="1" spans="1:15" s="112" customFormat="1" ht="35">
      <c r="C1" s="133" t="s">
        <v>1</v>
      </c>
      <c r="D1" s="133" t="s">
        <v>116</v>
      </c>
      <c r="E1" s="134" t="s">
        <v>117</v>
      </c>
      <c r="F1" s="134" t="s">
        <v>118</v>
      </c>
      <c r="G1" s="135" t="s">
        <v>119</v>
      </c>
      <c r="H1" s="135" t="s">
        <v>120</v>
      </c>
      <c r="I1" s="135" t="s">
        <v>121</v>
      </c>
      <c r="J1" s="139" t="s">
        <v>146</v>
      </c>
    </row>
    <row r="2" spans="1:15" s="112" customFormat="1" ht="30" customHeight="1">
      <c r="B2" s="327" t="s">
        <v>129</v>
      </c>
      <c r="C2" s="136" t="s">
        <v>128</v>
      </c>
      <c r="D2" s="136" t="s">
        <v>126</v>
      </c>
      <c r="E2" s="137">
        <v>4</v>
      </c>
      <c r="F2" s="115">
        <v>567.6</v>
      </c>
      <c r="G2" s="116">
        <f>+F2*E2</f>
        <v>2270.4</v>
      </c>
      <c r="H2" s="116">
        <v>0</v>
      </c>
      <c r="I2" s="116">
        <f>+G2+H2</f>
        <v>2270.4</v>
      </c>
      <c r="J2" s="111" t="s">
        <v>123</v>
      </c>
    </row>
    <row r="3" spans="1:15" s="112" customFormat="1" ht="30" customHeight="1">
      <c r="B3" s="327"/>
      <c r="C3" s="136" t="s">
        <v>122</v>
      </c>
      <c r="D3" s="114" t="s">
        <v>127</v>
      </c>
      <c r="E3" s="114">
        <v>4</v>
      </c>
      <c r="F3" s="115">
        <v>3341.1</v>
      </c>
      <c r="G3" s="116">
        <f>+F3*E3</f>
        <v>13364.4</v>
      </c>
      <c r="H3" s="116">
        <v>0</v>
      </c>
      <c r="I3" s="116">
        <f>+G3+H3</f>
        <v>13364.4</v>
      </c>
      <c r="J3" s="111" t="s">
        <v>123</v>
      </c>
    </row>
    <row r="4" spans="1:15" s="112" customFormat="1" ht="30" customHeight="1">
      <c r="B4" s="132"/>
      <c r="C4" s="127" t="s">
        <v>130</v>
      </c>
      <c r="D4" s="128"/>
      <c r="E4" s="128"/>
      <c r="F4" s="129"/>
      <c r="G4" s="130"/>
      <c r="H4" s="130"/>
      <c r="I4" s="130"/>
      <c r="J4" s="131">
        <f>SUM(I2:I3)</f>
        <v>15634.8</v>
      </c>
    </row>
    <row r="5" spans="1:15" s="112" customFormat="1" ht="40" customHeight="1">
      <c r="B5" s="327" t="s">
        <v>131</v>
      </c>
      <c r="C5" s="114" t="s">
        <v>124</v>
      </c>
      <c r="D5" s="114" t="s">
        <v>132</v>
      </c>
      <c r="E5" s="114">
        <f>27+29</f>
        <v>56</v>
      </c>
      <c r="F5" s="138">
        <v>419</v>
      </c>
      <c r="G5" s="116">
        <f>+F5*E5</f>
        <v>23464</v>
      </c>
      <c r="H5" s="116">
        <v>0</v>
      </c>
      <c r="I5" s="116">
        <f>+G5+H5</f>
        <v>23464</v>
      </c>
      <c r="J5" s="122" t="s">
        <v>159</v>
      </c>
      <c r="K5" s="329" t="s">
        <v>155</v>
      </c>
      <c r="L5" s="329"/>
    </row>
    <row r="6" spans="1:15" s="112" customFormat="1" ht="40" customHeight="1">
      <c r="B6" s="327"/>
      <c r="C6" s="114" t="s">
        <v>125</v>
      </c>
      <c r="D6" s="114" t="s">
        <v>134</v>
      </c>
      <c r="E6" s="114">
        <v>2</v>
      </c>
      <c r="F6" s="138">
        <v>2365</v>
      </c>
      <c r="G6" s="116">
        <f>+F6*E6</f>
        <v>4730</v>
      </c>
      <c r="H6" s="116">
        <v>0</v>
      </c>
      <c r="I6" s="116">
        <f>+G6+H6</f>
        <v>4730</v>
      </c>
      <c r="J6" s="122" t="s">
        <v>157</v>
      </c>
    </row>
    <row r="7" spans="1:15" s="112" customFormat="1" ht="53.5" customHeight="1">
      <c r="B7" s="327"/>
      <c r="C7" s="114" t="s">
        <v>128</v>
      </c>
      <c r="D7" s="114" t="s">
        <v>135</v>
      </c>
      <c r="E7" s="114">
        <v>2</v>
      </c>
      <c r="F7" s="138">
        <v>2057</v>
      </c>
      <c r="G7" s="116">
        <f>+F7*E7</f>
        <v>4114</v>
      </c>
      <c r="H7" s="116">
        <v>0</v>
      </c>
      <c r="I7" s="116">
        <f>+G7+H7</f>
        <v>4114</v>
      </c>
      <c r="J7" s="122" t="s">
        <v>157</v>
      </c>
      <c r="K7" s="119" t="s">
        <v>156</v>
      </c>
      <c r="L7" s="120">
        <f>7884+188+1056</f>
        <v>9128</v>
      </c>
    </row>
    <row r="8" spans="1:15" s="112" customFormat="1" ht="40" customHeight="1">
      <c r="B8" s="327"/>
      <c r="C8" s="114" t="s">
        <v>128</v>
      </c>
      <c r="D8" s="114" t="s">
        <v>136</v>
      </c>
      <c r="E8" s="114">
        <v>161</v>
      </c>
      <c r="F8" s="138">
        <v>41</v>
      </c>
      <c r="G8" s="116">
        <f>+F8*E8</f>
        <v>6601</v>
      </c>
      <c r="H8" s="116">
        <v>0</v>
      </c>
      <c r="I8" s="116">
        <f>+G8+H8</f>
        <v>6601</v>
      </c>
      <c r="J8" s="122" t="s">
        <v>158</v>
      </c>
      <c r="K8" s="113" t="s">
        <v>137</v>
      </c>
      <c r="L8" s="121">
        <v>51781</v>
      </c>
    </row>
    <row r="9" spans="1:15" s="112" customFormat="1" ht="40" customHeight="1">
      <c r="B9" s="327"/>
      <c r="C9" s="114" t="s">
        <v>48</v>
      </c>
      <c r="D9" s="114" t="s">
        <v>133</v>
      </c>
      <c r="E9" s="114">
        <v>6</v>
      </c>
      <c r="F9" s="138">
        <v>624</v>
      </c>
      <c r="G9" s="116">
        <f>+F9*E9</f>
        <v>3744</v>
      </c>
      <c r="H9" s="116">
        <v>0</v>
      </c>
      <c r="I9" s="116">
        <f>+G9+H9</f>
        <v>3744</v>
      </c>
      <c r="J9" s="122" t="s">
        <v>145</v>
      </c>
    </row>
    <row r="10" spans="1:15" s="112" customFormat="1" ht="30" customHeight="1">
      <c r="B10" s="117"/>
      <c r="C10" s="127" t="s">
        <v>130</v>
      </c>
      <c r="D10" s="128"/>
      <c r="E10" s="128"/>
      <c r="F10" s="129"/>
      <c r="G10" s="130"/>
      <c r="H10" s="130"/>
      <c r="I10" s="130"/>
      <c r="J10" s="131">
        <f>SUM(I5:I9)</f>
        <v>42653</v>
      </c>
      <c r="L10" s="118"/>
    </row>
    <row r="11" spans="1:15" s="112" customFormat="1" ht="30" customHeight="1">
      <c r="B11" s="117"/>
      <c r="C11" s="127" t="s">
        <v>152</v>
      </c>
      <c r="D11" s="128"/>
      <c r="E11" s="128"/>
      <c r="F11" s="129"/>
      <c r="G11" s="130"/>
      <c r="H11" s="130"/>
      <c r="I11" s="130"/>
      <c r="J11" s="131">
        <f>+J4+J10</f>
        <v>58287.8</v>
      </c>
      <c r="L11" s="118"/>
    </row>
    <row r="12" spans="1:15" ht="24" customHeight="1">
      <c r="A12" s="140"/>
      <c r="B12" s="328" t="s">
        <v>154</v>
      </c>
      <c r="C12" s="328"/>
      <c r="D12" s="328"/>
      <c r="E12" s="328"/>
      <c r="F12" s="328"/>
      <c r="G12" s="328"/>
      <c r="H12" s="328"/>
      <c r="I12" s="328"/>
      <c r="J12" s="328"/>
      <c r="K12" s="328"/>
      <c r="M12" s="93"/>
    </row>
    <row r="13" spans="1:15" ht="26">
      <c r="A13" s="51" t="s">
        <v>150</v>
      </c>
      <c r="B13" s="54" t="s">
        <v>96</v>
      </c>
      <c r="C13" s="94" t="s">
        <v>54</v>
      </c>
      <c r="D13" s="94" t="s">
        <v>138</v>
      </c>
      <c r="E13" s="95" t="s">
        <v>143</v>
      </c>
      <c r="F13" s="95" t="s">
        <v>144</v>
      </c>
      <c r="G13" s="95" t="s">
        <v>147</v>
      </c>
      <c r="H13" s="95" t="s">
        <v>148</v>
      </c>
      <c r="I13" s="95" t="s">
        <v>149</v>
      </c>
      <c r="J13" s="95" t="s">
        <v>151</v>
      </c>
      <c r="K13" s="95" t="s">
        <v>153</v>
      </c>
      <c r="L13" s="95"/>
      <c r="M13" s="93"/>
    </row>
    <row r="14" spans="1:15" s="79" customFormat="1" ht="25" customHeight="1">
      <c r="A14" s="125">
        <v>719</v>
      </c>
      <c r="B14" s="73">
        <v>72264</v>
      </c>
      <c r="C14" s="74" t="s">
        <v>139</v>
      </c>
      <c r="D14" s="123">
        <f>+$J$4/4</f>
        <v>3908.7</v>
      </c>
      <c r="E14" s="123">
        <f>27*$F$5</f>
        <v>11313</v>
      </c>
      <c r="F14" s="123">
        <v>2365</v>
      </c>
      <c r="G14" s="123">
        <v>2057</v>
      </c>
      <c r="H14" s="123">
        <f>80*F8</f>
        <v>3280</v>
      </c>
      <c r="I14" s="123">
        <v>0</v>
      </c>
      <c r="J14" s="77">
        <f>SUM(D14:I14)</f>
        <v>22923.7</v>
      </c>
      <c r="K14" s="123">
        <v>103269.32</v>
      </c>
      <c r="L14" s="123"/>
      <c r="M14" s="76"/>
      <c r="N14" s="77"/>
      <c r="O14" s="78"/>
    </row>
    <row r="15" spans="1:15" s="79" customFormat="1" ht="25" customHeight="1">
      <c r="A15" s="141">
        <v>285</v>
      </c>
      <c r="B15" s="142">
        <v>72266</v>
      </c>
      <c r="C15" s="143" t="s">
        <v>140</v>
      </c>
      <c r="D15" s="144">
        <f t="shared" ref="D15:D17" si="0">+$J$4/4</f>
        <v>3908.7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5">
        <f t="shared" ref="J15:J17" si="1">SUM(D15:I15)</f>
        <v>3908.7</v>
      </c>
      <c r="K15" s="144">
        <v>4084.8700000000026</v>
      </c>
      <c r="L15" s="146" t="s">
        <v>160</v>
      </c>
      <c r="M15" s="76"/>
      <c r="N15" s="77"/>
      <c r="O15" s="78"/>
    </row>
    <row r="16" spans="1:15" s="79" customFormat="1" ht="25" customHeight="1">
      <c r="A16" s="125">
        <v>736</v>
      </c>
      <c r="B16" s="73">
        <v>72265</v>
      </c>
      <c r="C16" s="74" t="s">
        <v>141</v>
      </c>
      <c r="D16" s="123">
        <f t="shared" si="0"/>
        <v>3908.7</v>
      </c>
      <c r="E16" s="123">
        <f>29*$F$5</f>
        <v>12151</v>
      </c>
      <c r="F16" s="123">
        <v>2365</v>
      </c>
      <c r="G16" s="123">
        <v>2057</v>
      </c>
      <c r="H16" s="123">
        <f>81*F8</f>
        <v>3321</v>
      </c>
      <c r="I16" s="123">
        <f>2*F9</f>
        <v>1248</v>
      </c>
      <c r="J16" s="77">
        <f t="shared" si="1"/>
        <v>25050.7</v>
      </c>
      <c r="K16" s="123">
        <v>100971.84999999999</v>
      </c>
      <c r="L16" s="123"/>
      <c r="M16" s="76"/>
      <c r="N16" s="77"/>
      <c r="O16" s="78"/>
    </row>
    <row r="17" spans="1:15" s="79" customFormat="1" ht="25" customHeight="1">
      <c r="A17" s="125">
        <v>930</v>
      </c>
      <c r="B17" s="73">
        <v>72263</v>
      </c>
      <c r="C17" s="74" t="s">
        <v>142</v>
      </c>
      <c r="D17" s="123">
        <f t="shared" si="0"/>
        <v>3908.7</v>
      </c>
      <c r="E17" s="123">
        <v>0</v>
      </c>
      <c r="F17" s="123"/>
      <c r="G17" s="123"/>
      <c r="H17" s="123"/>
      <c r="I17" s="123">
        <f>4*F9</f>
        <v>2496</v>
      </c>
      <c r="J17" s="77">
        <f t="shared" si="1"/>
        <v>6404.7</v>
      </c>
      <c r="K17" s="123">
        <v>86124.610000000015</v>
      </c>
      <c r="L17" s="123"/>
      <c r="M17" s="76"/>
      <c r="N17" s="77"/>
      <c r="O17" s="78"/>
    </row>
    <row r="18" spans="1:15" s="82" customFormat="1" ht="23.5" customHeight="1">
      <c r="A18" s="126">
        <f>SUM(A14:A17)</f>
        <v>2670</v>
      </c>
      <c r="B18" s="102"/>
      <c r="C18" s="101" t="s">
        <v>111</v>
      </c>
      <c r="D18" s="124">
        <f>SUM(D14:D17)</f>
        <v>15634.8</v>
      </c>
      <c r="E18" s="124">
        <f t="shared" ref="E18:J18" si="2">SUM(E14:E17)</f>
        <v>23464</v>
      </c>
      <c r="F18" s="124">
        <f t="shared" si="2"/>
        <v>4730</v>
      </c>
      <c r="G18" s="124">
        <f t="shared" si="2"/>
        <v>4114</v>
      </c>
      <c r="H18" s="124">
        <f t="shared" si="2"/>
        <v>6601</v>
      </c>
      <c r="I18" s="124">
        <f t="shared" si="2"/>
        <v>3744</v>
      </c>
      <c r="J18" s="124">
        <f t="shared" si="2"/>
        <v>58287.8</v>
      </c>
      <c r="K18" s="124"/>
      <c r="L18" s="124"/>
    </row>
    <row r="19" spans="1:15">
      <c r="D19" s="57">
        <v>-3908.7</v>
      </c>
      <c r="E19" s="57"/>
      <c r="F19" s="57"/>
      <c r="G19" s="57"/>
      <c r="H19" s="55"/>
      <c r="I19" s="57"/>
      <c r="K19" s="55"/>
    </row>
    <row r="20" spans="1:15">
      <c r="D20" s="66">
        <f>SUM(D18:D19)</f>
        <v>11726.099999999999</v>
      </c>
    </row>
    <row r="23" spans="1:15" s="82" customFormat="1" ht="25" customHeight="1">
      <c r="B23" s="73"/>
      <c r="C23" s="74"/>
      <c r="D23" s="124"/>
      <c r="E23" s="124"/>
      <c r="F23" s="124"/>
      <c r="G23" s="124"/>
      <c r="H23" s="124"/>
      <c r="I23" s="123"/>
      <c r="J23" s="123"/>
      <c r="K23" s="123"/>
      <c r="L23" s="81"/>
      <c r="M23" s="81"/>
      <c r="N23" s="81"/>
      <c r="O23" s="81"/>
    </row>
  </sheetData>
  <mergeCells count="4">
    <mergeCell ref="B2:B3"/>
    <mergeCell ref="B5:B9"/>
    <mergeCell ref="B12:K12"/>
    <mergeCell ref="K5:L5"/>
  </mergeCells>
  <printOptions gridLines="1"/>
  <pageMargins left="0.75" right="0.75" top="1" bottom="1" header="0.5" footer="0.5"/>
  <pageSetup scale="65" orientation="landscape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5"/>
  <sheetViews>
    <sheetView workbookViewId="0">
      <selection activeCell="C45" sqref="C45"/>
    </sheetView>
  </sheetViews>
  <sheetFormatPr defaultColWidth="9.1796875" defaultRowHeight="12.5"/>
  <cols>
    <col min="1" max="1" width="22" style="64" customWidth="1"/>
    <col min="2" max="4" width="12.54296875" style="66" customWidth="1"/>
    <col min="5" max="5" width="12.54296875" style="64" customWidth="1"/>
    <col min="6" max="7" width="12.54296875" style="66" customWidth="1"/>
    <col min="8" max="8" width="12.54296875" style="64" customWidth="1"/>
    <col min="9" max="9" width="15.1796875" style="64" customWidth="1"/>
    <col min="10" max="11" width="12.453125" style="64" customWidth="1"/>
    <col min="12" max="13" width="11.1796875" style="64" bestFit="1" customWidth="1"/>
    <col min="14" max="16384" width="9.1796875" style="64"/>
  </cols>
  <sheetData>
    <row r="1" spans="1:13" ht="24" customHeight="1">
      <c r="A1" s="330" t="s">
        <v>90</v>
      </c>
      <c r="B1" s="330"/>
      <c r="C1" s="330"/>
      <c r="D1" s="330"/>
      <c r="E1" s="330"/>
      <c r="F1" s="330"/>
      <c r="G1" s="330"/>
      <c r="H1" s="330"/>
      <c r="I1" s="66"/>
      <c r="K1" s="93"/>
    </row>
    <row r="2" spans="1:13" ht="26">
      <c r="A2" s="94" t="s">
        <v>54</v>
      </c>
      <c r="B2" s="95" t="s">
        <v>91</v>
      </c>
      <c r="C2" s="95" t="s">
        <v>92</v>
      </c>
      <c r="D2" s="95" t="s">
        <v>93</v>
      </c>
      <c r="E2" s="95" t="s">
        <v>94</v>
      </c>
      <c r="F2" s="95" t="s">
        <v>76</v>
      </c>
      <c r="G2" s="95" t="s">
        <v>31</v>
      </c>
      <c r="H2" s="95" t="s">
        <v>95</v>
      </c>
      <c r="I2" s="54" t="s">
        <v>96</v>
      </c>
      <c r="K2" s="93"/>
    </row>
    <row r="3" spans="1:13" s="79" customFormat="1" ht="25" customHeight="1">
      <c r="A3" s="74" t="s">
        <v>32</v>
      </c>
      <c r="B3" s="107">
        <v>0</v>
      </c>
      <c r="C3" s="107">
        <v>0</v>
      </c>
      <c r="D3" s="107">
        <v>0</v>
      </c>
      <c r="E3" s="107">
        <v>63076.9</v>
      </c>
      <c r="F3" s="107">
        <f>SUM(B3:E3)</f>
        <v>63076.9</v>
      </c>
      <c r="G3" s="107">
        <v>149201.51</v>
      </c>
      <c r="H3" s="107">
        <f>+G3-F3</f>
        <v>86124.610000000015</v>
      </c>
      <c r="I3" s="73">
        <v>72263</v>
      </c>
      <c r="J3" s="76"/>
      <c r="K3" s="76"/>
      <c r="L3" s="77"/>
      <c r="M3" s="78"/>
    </row>
    <row r="4" spans="1:13" s="79" customFormat="1" ht="25" customHeight="1">
      <c r="A4" s="74" t="s">
        <v>33</v>
      </c>
      <c r="B4" s="107">
        <v>0</v>
      </c>
      <c r="C4" s="107">
        <v>0</v>
      </c>
      <c r="D4" s="107">
        <v>0</v>
      </c>
      <c r="E4" s="107">
        <v>0</v>
      </c>
      <c r="F4" s="107">
        <f t="shared" ref="F4:F7" si="0">SUM(B4:E4)</f>
        <v>0</v>
      </c>
      <c r="G4" s="107">
        <v>103269.32</v>
      </c>
      <c r="H4" s="107">
        <f t="shared" ref="H4:H7" si="1">+G4-F4</f>
        <v>103269.32</v>
      </c>
      <c r="I4" s="73">
        <v>72264</v>
      </c>
      <c r="J4" s="76"/>
      <c r="K4" s="76"/>
      <c r="L4" s="77"/>
      <c r="M4" s="78"/>
    </row>
    <row r="5" spans="1:13" s="79" customFormat="1" ht="25" customHeight="1">
      <c r="A5" s="74" t="s">
        <v>34</v>
      </c>
      <c r="B5" s="107">
        <v>0</v>
      </c>
      <c r="C5" s="107">
        <v>0</v>
      </c>
      <c r="D5" s="107">
        <v>0</v>
      </c>
      <c r="E5" s="107">
        <v>10265.299999999999</v>
      </c>
      <c r="F5" s="107">
        <f t="shared" si="0"/>
        <v>10265.299999999999</v>
      </c>
      <c r="G5" s="107">
        <v>111237.15</v>
      </c>
      <c r="H5" s="107">
        <f t="shared" si="1"/>
        <v>100971.84999999999</v>
      </c>
      <c r="I5" s="73">
        <v>72265</v>
      </c>
      <c r="J5" s="76"/>
      <c r="K5" s="76"/>
      <c r="L5" s="77"/>
      <c r="M5" s="78"/>
    </row>
    <row r="6" spans="1:13" s="79" customFormat="1" ht="25" customHeight="1">
      <c r="A6" s="74" t="s">
        <v>35</v>
      </c>
      <c r="B6" s="107">
        <v>0</v>
      </c>
      <c r="C6" s="107">
        <v>0</v>
      </c>
      <c r="D6" s="107">
        <v>44659.5</v>
      </c>
      <c r="E6" s="107">
        <v>0</v>
      </c>
      <c r="F6" s="107">
        <f t="shared" si="0"/>
        <v>44659.5</v>
      </c>
      <c r="G6" s="107">
        <v>48744.37</v>
      </c>
      <c r="H6" s="107">
        <f t="shared" si="1"/>
        <v>4084.8700000000026</v>
      </c>
      <c r="I6" s="73">
        <v>72266</v>
      </c>
      <c r="J6" s="76"/>
      <c r="K6" s="76"/>
      <c r="L6" s="77"/>
      <c r="M6" s="78"/>
    </row>
    <row r="7" spans="1:13" s="82" customFormat="1" ht="25" customHeight="1">
      <c r="A7" s="74" t="s">
        <v>36</v>
      </c>
      <c r="B7" s="108">
        <v>0</v>
      </c>
      <c r="C7" s="108">
        <v>0</v>
      </c>
      <c r="D7" s="108">
        <v>0</v>
      </c>
      <c r="E7" s="108">
        <v>0</v>
      </c>
      <c r="F7" s="107">
        <f t="shared" si="0"/>
        <v>0</v>
      </c>
      <c r="G7" s="107">
        <v>71085.539999999994</v>
      </c>
      <c r="H7" s="107">
        <f t="shared" si="1"/>
        <v>71085.539999999994</v>
      </c>
      <c r="I7" s="73">
        <v>72267</v>
      </c>
      <c r="J7" s="81"/>
      <c r="K7" s="81"/>
      <c r="L7" s="81"/>
      <c r="M7" s="81"/>
    </row>
    <row r="8" spans="1:13" s="82" customFormat="1" ht="23.5" customHeight="1">
      <c r="A8" s="101" t="s">
        <v>111</v>
      </c>
      <c r="B8" s="108">
        <f>SUM(B3:B7)</f>
        <v>0</v>
      </c>
      <c r="C8" s="108">
        <f t="shared" ref="C8:H8" si="2">SUM(C3:C7)</f>
        <v>0</v>
      </c>
      <c r="D8" s="108">
        <f t="shared" si="2"/>
        <v>44659.5</v>
      </c>
      <c r="E8" s="108">
        <f t="shared" si="2"/>
        <v>73342.2</v>
      </c>
      <c r="F8" s="108">
        <f t="shared" si="2"/>
        <v>118001.7</v>
      </c>
      <c r="G8" s="108">
        <f t="shared" si="2"/>
        <v>483537.88999999996</v>
      </c>
      <c r="H8" s="108">
        <f t="shared" si="2"/>
        <v>365536.19</v>
      </c>
      <c r="I8" s="102"/>
    </row>
    <row r="9" spans="1:13" s="82" customFormat="1" ht="23.5" customHeight="1">
      <c r="A9" s="101"/>
      <c r="B9" s="102"/>
      <c r="C9" s="102"/>
      <c r="D9" s="102"/>
      <c r="F9" s="102"/>
      <c r="G9" s="102"/>
      <c r="H9" s="102"/>
      <c r="I9" s="102"/>
    </row>
    <row r="10" spans="1:13">
      <c r="A10" s="103" t="s">
        <v>37</v>
      </c>
      <c r="B10" s="104" t="s">
        <v>97</v>
      </c>
      <c r="C10" s="104"/>
      <c r="D10" s="104"/>
      <c r="E10" s="105"/>
      <c r="F10" s="105"/>
      <c r="G10" s="67"/>
      <c r="H10" s="67"/>
      <c r="I10" s="67"/>
      <c r="J10" s="67"/>
      <c r="K10" s="67"/>
    </row>
    <row r="11" spans="1:13">
      <c r="A11" s="103">
        <v>72263</v>
      </c>
      <c r="B11" s="104" t="s">
        <v>32</v>
      </c>
      <c r="C11" s="104"/>
      <c r="D11" s="104"/>
      <c r="E11" s="105"/>
      <c r="F11" s="105"/>
      <c r="G11" s="67"/>
      <c r="H11" s="67"/>
      <c r="I11" s="67"/>
      <c r="J11" s="67"/>
      <c r="K11" s="67"/>
    </row>
    <row r="12" spans="1:13">
      <c r="A12" s="56"/>
      <c r="B12" s="57"/>
      <c r="C12" s="57"/>
      <c r="D12" s="57"/>
      <c r="E12" s="96"/>
      <c r="F12" s="96"/>
      <c r="G12" s="67"/>
      <c r="H12" s="67"/>
      <c r="I12" s="67"/>
      <c r="J12" s="67"/>
      <c r="K12" s="67"/>
    </row>
    <row r="13" spans="1:13">
      <c r="A13" s="56"/>
      <c r="B13" s="57"/>
      <c r="C13" s="57"/>
      <c r="D13" s="57"/>
      <c r="E13" s="96"/>
      <c r="F13" s="96"/>
      <c r="G13" s="67"/>
      <c r="H13" s="67"/>
      <c r="I13" s="67"/>
      <c r="J13" s="67"/>
      <c r="K13" s="67"/>
    </row>
    <row r="14" spans="1:13">
      <c r="A14" s="56"/>
      <c r="B14" s="57"/>
      <c r="C14" s="57" t="s">
        <v>98</v>
      </c>
      <c r="D14" s="57" t="s">
        <v>99</v>
      </c>
      <c r="E14" s="55" t="s">
        <v>100</v>
      </c>
      <c r="F14" s="57"/>
    </row>
    <row r="15" spans="1:13">
      <c r="A15" s="56"/>
      <c r="B15" s="57" t="s">
        <v>101</v>
      </c>
      <c r="C15" s="97">
        <v>149201.51</v>
      </c>
      <c r="D15" s="97">
        <v>63076.9</v>
      </c>
      <c r="E15" s="96">
        <v>86124.61</v>
      </c>
      <c r="F15" s="98">
        <v>0</v>
      </c>
      <c r="G15" s="68"/>
      <c r="H15" s="67"/>
      <c r="I15" s="67"/>
      <c r="J15" s="67"/>
      <c r="K15" s="67"/>
    </row>
    <row r="16" spans="1:13" ht="13" customHeight="1">
      <c r="A16" s="56"/>
      <c r="B16" s="57"/>
      <c r="C16" s="57"/>
      <c r="D16" s="57"/>
      <c r="E16" s="96"/>
      <c r="F16" s="98"/>
      <c r="G16" s="68"/>
      <c r="H16" s="67"/>
      <c r="I16" s="67"/>
      <c r="J16" s="67"/>
      <c r="K16" s="67"/>
    </row>
    <row r="17" spans="1:6">
      <c r="A17" s="55" t="s">
        <v>102</v>
      </c>
      <c r="B17" s="57"/>
      <c r="C17" s="57"/>
      <c r="D17" s="57"/>
      <c r="E17" s="55"/>
      <c r="F17" s="57"/>
    </row>
    <row r="18" spans="1:6">
      <c r="A18" s="55"/>
      <c r="B18" s="57"/>
      <c r="C18" s="57"/>
      <c r="D18" s="57"/>
      <c r="E18" s="55"/>
      <c r="F18" s="57"/>
    </row>
    <row r="19" spans="1:6">
      <c r="A19" s="55" t="s">
        <v>103</v>
      </c>
      <c r="B19" s="57" t="s">
        <v>104</v>
      </c>
      <c r="C19" s="57" t="s">
        <v>105</v>
      </c>
      <c r="D19" s="57" t="s">
        <v>106</v>
      </c>
      <c r="E19" s="55" t="s">
        <v>107</v>
      </c>
      <c r="F19" s="57"/>
    </row>
    <row r="20" spans="1:6">
      <c r="A20" s="55">
        <v>1899023232</v>
      </c>
      <c r="B20" s="57">
        <v>1</v>
      </c>
      <c r="C20" s="97">
        <v>36742.639999999999</v>
      </c>
      <c r="D20" s="97">
        <v>36742.639999999999</v>
      </c>
      <c r="E20" s="55" t="s">
        <v>108</v>
      </c>
      <c r="F20" s="57"/>
    </row>
    <row r="21" spans="1:6">
      <c r="A21" s="55">
        <v>1899023232</v>
      </c>
      <c r="B21" s="57">
        <v>2</v>
      </c>
      <c r="C21" s="97">
        <v>5184</v>
      </c>
      <c r="D21" s="97">
        <v>5184</v>
      </c>
      <c r="E21" s="55" t="s">
        <v>108</v>
      </c>
      <c r="F21" s="57"/>
    </row>
    <row r="22" spans="1:6">
      <c r="A22" s="55">
        <v>1899023232</v>
      </c>
      <c r="B22" s="57">
        <v>3</v>
      </c>
      <c r="C22" s="97">
        <v>5270</v>
      </c>
      <c r="D22" s="97">
        <v>5270</v>
      </c>
      <c r="E22" s="55" t="s">
        <v>108</v>
      </c>
      <c r="F22" s="57"/>
    </row>
    <row r="23" spans="1:6">
      <c r="A23" s="55">
        <v>1899023232</v>
      </c>
      <c r="B23" s="57">
        <v>4</v>
      </c>
      <c r="C23" s="97">
        <v>604.75</v>
      </c>
      <c r="D23" s="97">
        <v>604.75</v>
      </c>
      <c r="E23" s="55" t="s">
        <v>108</v>
      </c>
      <c r="F23" s="57"/>
    </row>
    <row r="24" spans="1:6">
      <c r="A24" s="55">
        <v>1899023232</v>
      </c>
      <c r="B24" s="57">
        <v>5</v>
      </c>
      <c r="C24" s="97">
        <v>15275.51</v>
      </c>
      <c r="D24" s="97">
        <v>15275.51</v>
      </c>
      <c r="E24" s="55" t="s">
        <v>108</v>
      </c>
      <c r="F24" s="57"/>
    </row>
    <row r="25" spans="1:6">
      <c r="A25" s="55"/>
      <c r="B25" s="57"/>
      <c r="C25" s="57"/>
      <c r="D25" s="57"/>
      <c r="E25" s="55"/>
      <c r="F25" s="97">
        <f>SUM(D20:D24)</f>
        <v>63076.9</v>
      </c>
    </row>
    <row r="26" spans="1:6">
      <c r="A26" s="106"/>
      <c r="B26" s="104"/>
      <c r="C26" s="104" t="s">
        <v>97</v>
      </c>
      <c r="D26" s="104"/>
      <c r="E26" s="106"/>
      <c r="F26" s="104"/>
    </row>
    <row r="27" spans="1:6">
      <c r="A27" s="106"/>
      <c r="B27" s="104"/>
      <c r="C27" s="104" t="s">
        <v>33</v>
      </c>
      <c r="D27" s="104"/>
      <c r="E27" s="106"/>
      <c r="F27" s="104"/>
    </row>
    <row r="28" spans="1:6">
      <c r="A28" s="55"/>
      <c r="B28" s="57"/>
      <c r="C28" s="57" t="s">
        <v>98</v>
      </c>
      <c r="D28" s="57" t="s">
        <v>99</v>
      </c>
      <c r="E28" s="55" t="s">
        <v>100</v>
      </c>
      <c r="F28" s="57"/>
    </row>
    <row r="29" spans="1:6">
      <c r="A29" s="55"/>
      <c r="B29" s="57" t="s">
        <v>101</v>
      </c>
      <c r="C29" s="97">
        <v>103269.32</v>
      </c>
      <c r="D29" s="97">
        <v>0</v>
      </c>
      <c r="E29" s="99">
        <v>103269.32</v>
      </c>
      <c r="F29" s="100">
        <v>0</v>
      </c>
    </row>
    <row r="30" spans="1:6">
      <c r="A30" s="55"/>
      <c r="B30" s="57"/>
      <c r="C30" s="57"/>
      <c r="D30" s="57"/>
      <c r="E30" s="55"/>
      <c r="F30" s="57"/>
    </row>
    <row r="31" spans="1:6">
      <c r="A31" s="106"/>
      <c r="B31" s="104"/>
      <c r="C31" s="104" t="s">
        <v>97</v>
      </c>
      <c r="D31" s="104"/>
      <c r="E31" s="106"/>
      <c r="F31" s="104"/>
    </row>
    <row r="32" spans="1:6">
      <c r="A32" s="106"/>
      <c r="B32" s="104"/>
      <c r="C32" s="104" t="s">
        <v>34</v>
      </c>
      <c r="D32" s="104"/>
      <c r="E32" s="106"/>
      <c r="F32" s="104"/>
    </row>
    <row r="33" spans="1:6">
      <c r="A33" s="55"/>
      <c r="B33" s="57"/>
      <c r="C33" s="57" t="s">
        <v>98</v>
      </c>
      <c r="D33" s="57" t="s">
        <v>99</v>
      </c>
      <c r="E33" s="55" t="s">
        <v>100</v>
      </c>
      <c r="F33" s="57"/>
    </row>
    <row r="34" spans="1:6">
      <c r="A34" s="55"/>
      <c r="B34" s="57" t="s">
        <v>101</v>
      </c>
      <c r="C34" s="97">
        <v>111237.15</v>
      </c>
      <c r="D34" s="97">
        <v>10265.299999999999</v>
      </c>
      <c r="E34" s="99">
        <v>100971.85</v>
      </c>
      <c r="F34" s="100">
        <v>0</v>
      </c>
    </row>
    <row r="35" spans="1:6">
      <c r="A35" s="55" t="s">
        <v>102</v>
      </c>
      <c r="B35" s="57"/>
      <c r="C35" s="57"/>
      <c r="D35" s="57"/>
      <c r="E35" s="55"/>
      <c r="F35" s="57"/>
    </row>
    <row r="36" spans="1:6">
      <c r="A36" s="55" t="s">
        <v>103</v>
      </c>
      <c r="B36" s="57" t="s">
        <v>104</v>
      </c>
      <c r="C36" s="57" t="s">
        <v>105</v>
      </c>
      <c r="D36" s="57" t="s">
        <v>106</v>
      </c>
      <c r="E36" s="55" t="s">
        <v>107</v>
      </c>
      <c r="F36" s="57"/>
    </row>
    <row r="37" spans="1:6">
      <c r="A37" s="55">
        <v>1899023232</v>
      </c>
      <c r="B37" s="57">
        <v>6</v>
      </c>
      <c r="C37" s="97">
        <v>3230</v>
      </c>
      <c r="D37" s="97">
        <v>3230</v>
      </c>
      <c r="E37" s="55" t="s">
        <v>108</v>
      </c>
      <c r="F37" s="57"/>
    </row>
    <row r="38" spans="1:6">
      <c r="A38" s="55">
        <v>1899023232</v>
      </c>
      <c r="B38" s="57">
        <v>7</v>
      </c>
      <c r="C38" s="97">
        <v>604.75</v>
      </c>
      <c r="D38" s="97">
        <v>604.75</v>
      </c>
      <c r="E38" s="55" t="s">
        <v>108</v>
      </c>
      <c r="F38" s="57"/>
    </row>
    <row r="39" spans="1:6">
      <c r="A39" s="55">
        <v>1899023232</v>
      </c>
      <c r="B39" s="57">
        <v>8</v>
      </c>
      <c r="C39" s="97">
        <v>6430.55</v>
      </c>
      <c r="D39" s="97">
        <v>6430.55</v>
      </c>
      <c r="E39" s="55" t="s">
        <v>108</v>
      </c>
      <c r="F39" s="57"/>
    </row>
    <row r="40" spans="1:6">
      <c r="A40" s="55"/>
      <c r="B40" s="57"/>
      <c r="C40" s="57"/>
      <c r="D40" s="57"/>
      <c r="E40" s="55"/>
      <c r="F40" s="97">
        <f>SUM(D37:D39)</f>
        <v>10265.299999999999</v>
      </c>
    </row>
    <row r="41" spans="1:6">
      <c r="A41" s="55"/>
      <c r="B41" s="57"/>
      <c r="C41" s="57"/>
      <c r="D41" s="57"/>
      <c r="E41" s="55"/>
      <c r="F41" s="57"/>
    </row>
    <row r="42" spans="1:6">
      <c r="A42" s="106"/>
      <c r="B42" s="104"/>
      <c r="C42" s="104" t="s">
        <v>97</v>
      </c>
      <c r="D42" s="104"/>
      <c r="E42" s="106"/>
      <c r="F42" s="104"/>
    </row>
    <row r="43" spans="1:6">
      <c r="A43" s="106"/>
      <c r="B43" s="104"/>
      <c r="C43" s="104" t="s">
        <v>35</v>
      </c>
      <c r="D43" s="104"/>
      <c r="E43" s="106"/>
      <c r="F43" s="104"/>
    </row>
    <row r="44" spans="1:6">
      <c r="A44" s="55"/>
      <c r="B44" s="57"/>
      <c r="C44" s="57" t="s">
        <v>98</v>
      </c>
      <c r="D44" s="57" t="s">
        <v>99</v>
      </c>
      <c r="E44" s="55" t="s">
        <v>100</v>
      </c>
      <c r="F44" s="57"/>
    </row>
    <row r="45" spans="1:6">
      <c r="A45" s="55"/>
      <c r="B45" s="57" t="s">
        <v>101</v>
      </c>
      <c r="C45" s="97">
        <v>48744.37</v>
      </c>
      <c r="D45" s="97">
        <v>44659.5</v>
      </c>
      <c r="E45" s="99">
        <v>4084.87</v>
      </c>
      <c r="F45" s="100">
        <v>0</v>
      </c>
    </row>
    <row r="46" spans="1:6">
      <c r="A46" s="55"/>
      <c r="B46" s="57"/>
      <c r="C46" s="57"/>
      <c r="D46" s="57"/>
      <c r="E46" s="55"/>
      <c r="F46" s="57"/>
    </row>
    <row r="47" spans="1:6">
      <c r="A47" s="55" t="s">
        <v>109</v>
      </c>
      <c r="B47" s="57"/>
      <c r="C47" s="57"/>
      <c r="D47" s="57"/>
      <c r="E47" s="55"/>
      <c r="F47" s="57"/>
    </row>
    <row r="48" spans="1:6">
      <c r="A48" s="55" t="s">
        <v>103</v>
      </c>
      <c r="B48" s="57" t="s">
        <v>104</v>
      </c>
      <c r="C48" s="57" t="s">
        <v>105</v>
      </c>
      <c r="D48" s="57" t="s">
        <v>106</v>
      </c>
      <c r="E48" s="55" t="s">
        <v>107</v>
      </c>
      <c r="F48" s="57"/>
    </row>
    <row r="49" spans="1:7">
      <c r="A49" s="55">
        <v>1799110589</v>
      </c>
      <c r="B49" s="57">
        <v>6</v>
      </c>
      <c r="C49" s="97">
        <v>14659.5</v>
      </c>
      <c r="D49" s="97">
        <v>14659.5</v>
      </c>
      <c r="E49" s="55" t="s">
        <v>108</v>
      </c>
      <c r="F49" s="57"/>
    </row>
    <row r="50" spans="1:7">
      <c r="A50" s="55">
        <v>1799110589</v>
      </c>
      <c r="B50" s="57">
        <v>7</v>
      </c>
      <c r="C50" s="97">
        <v>1875</v>
      </c>
      <c r="D50" s="97">
        <v>1875</v>
      </c>
      <c r="E50" s="55" t="s">
        <v>108</v>
      </c>
      <c r="F50" s="57"/>
    </row>
    <row r="51" spans="1:7">
      <c r="A51" s="55"/>
      <c r="B51" s="57"/>
      <c r="C51" s="57"/>
      <c r="D51" s="57"/>
      <c r="E51" s="55"/>
      <c r="F51" s="97">
        <f>SUM(D49:D50)</f>
        <v>16534.5</v>
      </c>
    </row>
    <row r="52" spans="1:7">
      <c r="A52" s="55"/>
      <c r="B52" s="57"/>
      <c r="C52" s="57"/>
      <c r="D52" s="57"/>
      <c r="E52" s="55"/>
      <c r="F52" s="57"/>
    </row>
    <row r="53" spans="1:7">
      <c r="A53" s="55" t="s">
        <v>110</v>
      </c>
      <c r="B53" s="57"/>
      <c r="C53" s="57"/>
      <c r="D53" s="57"/>
      <c r="E53" s="55"/>
      <c r="F53" s="57"/>
    </row>
    <row r="54" spans="1:7">
      <c r="A54" s="55" t="s">
        <v>103</v>
      </c>
      <c r="B54" s="57" t="s">
        <v>104</v>
      </c>
      <c r="C54" s="57" t="s">
        <v>105</v>
      </c>
      <c r="D54" s="57" t="s">
        <v>106</v>
      </c>
      <c r="E54" s="55" t="s">
        <v>107</v>
      </c>
      <c r="F54" s="57"/>
    </row>
    <row r="55" spans="1:7">
      <c r="A55" s="55">
        <v>1799111542</v>
      </c>
      <c r="B55" s="57">
        <v>1</v>
      </c>
      <c r="C55" s="97">
        <v>28125</v>
      </c>
      <c r="D55" s="97">
        <v>28125</v>
      </c>
      <c r="E55" s="55" t="s">
        <v>108</v>
      </c>
      <c r="F55" s="57"/>
    </row>
    <row r="56" spans="1:7">
      <c r="A56" s="55"/>
      <c r="B56" s="57"/>
      <c r="C56" s="57"/>
      <c r="D56" s="57"/>
      <c r="E56" s="55"/>
      <c r="F56" s="97">
        <f>SUM(D55)</f>
        <v>28125</v>
      </c>
    </row>
    <row r="57" spans="1:7">
      <c r="A57" s="55"/>
      <c r="B57" s="57"/>
      <c r="C57" s="57"/>
      <c r="D57" s="57"/>
      <c r="E57" s="55"/>
      <c r="F57" s="57"/>
      <c r="G57" s="97">
        <f>SUM(F51:F56)</f>
        <v>44659.5</v>
      </c>
    </row>
    <row r="58" spans="1:7">
      <c r="A58" s="106"/>
      <c r="B58" s="104" t="s">
        <v>37</v>
      </c>
      <c r="C58" s="104" t="s">
        <v>97</v>
      </c>
      <c r="D58" s="104"/>
      <c r="E58" s="106"/>
      <c r="F58" s="104"/>
    </row>
    <row r="59" spans="1:7">
      <c r="A59" s="106"/>
      <c r="B59" s="104">
        <v>72267</v>
      </c>
      <c r="C59" s="104" t="s">
        <v>36</v>
      </c>
      <c r="D59" s="104"/>
      <c r="E59" s="106"/>
      <c r="F59" s="104"/>
    </row>
    <row r="60" spans="1:7">
      <c r="A60" s="55"/>
      <c r="B60" s="57"/>
      <c r="C60" s="57"/>
      <c r="D60" s="57"/>
      <c r="E60" s="55"/>
      <c r="F60" s="57"/>
    </row>
    <row r="61" spans="1:7">
      <c r="A61" s="55"/>
      <c r="B61" s="57"/>
      <c r="C61" s="57"/>
      <c r="D61" s="57"/>
      <c r="E61" s="55"/>
      <c r="F61" s="57"/>
    </row>
    <row r="62" spans="1:7">
      <c r="A62" s="55"/>
      <c r="B62" s="57"/>
      <c r="C62" s="57" t="s">
        <v>98</v>
      </c>
      <c r="D62" s="57" t="s">
        <v>99</v>
      </c>
      <c r="E62" s="55" t="s">
        <v>100</v>
      </c>
      <c r="F62" s="57"/>
    </row>
    <row r="63" spans="1:7">
      <c r="A63" s="55"/>
      <c r="B63" s="57" t="s">
        <v>101</v>
      </c>
      <c r="C63" s="97">
        <v>71085.539999999994</v>
      </c>
      <c r="D63" s="97">
        <v>0</v>
      </c>
      <c r="E63" s="99">
        <v>71085.539999999994</v>
      </c>
      <c r="F63" s="57"/>
    </row>
    <row r="64" spans="1:7">
      <c r="A64" s="55"/>
      <c r="B64" s="57"/>
      <c r="C64" s="57"/>
      <c r="D64" s="57"/>
      <c r="E64" s="55"/>
      <c r="F64" s="57"/>
    </row>
    <row r="65" spans="1:6">
      <c r="A65" s="55"/>
      <c r="B65" s="57"/>
      <c r="C65" s="57"/>
      <c r="D65" s="57"/>
      <c r="E65" s="55"/>
      <c r="F65" s="57"/>
    </row>
  </sheetData>
  <mergeCells count="1">
    <mergeCell ref="A1:H1"/>
  </mergeCells>
  <printOptions gridLines="1"/>
  <pageMargins left="0.75" right="0.75" top="1" bottom="1" header="0.5" footer="0.5"/>
  <pageSetup scale="6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Summary</vt:lpstr>
      <vt:lpstr>SLD Call Log</vt:lpstr>
      <vt:lpstr>Discounts</vt:lpstr>
      <vt:lpstr>Cat1</vt:lpstr>
      <vt:lpstr>BusWiFi 2024</vt:lpstr>
      <vt:lpstr>Cat2 2023</vt:lpstr>
      <vt:lpstr>Cat2 2020</vt:lpstr>
      <vt:lpstr>Cat2 2019</vt:lpstr>
      <vt:lpstr>Cat2 Budgdet 2019</vt:lpstr>
      <vt:lpstr>Cat2 2018</vt:lpstr>
      <vt:lpstr>'Cat2 2018'!Print_Area</vt:lpstr>
      <vt:lpstr>'Cat2 2019'!Print_Area</vt:lpstr>
      <vt:lpstr>'Cat2 2020'!Print_Area</vt:lpstr>
      <vt:lpstr>'Cat2 Budgdet 2019'!Print_Area</vt:lpstr>
      <vt:lpstr>Summary!Print_Area</vt:lpstr>
      <vt:lpstr>Summary!Print_Titles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Contractor</dc:creator>
  <cp:lastModifiedBy>Donald Dietrich</cp:lastModifiedBy>
  <cp:lastPrinted>2023-08-02T22:39:50Z</cp:lastPrinted>
  <dcterms:created xsi:type="dcterms:W3CDTF">1998-03-20T19:29:26Z</dcterms:created>
  <dcterms:modified xsi:type="dcterms:W3CDTF">2024-10-14T21:06:15Z</dcterms:modified>
</cp:coreProperties>
</file>